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50" windowWidth="11370" windowHeight="10920" tabRatio="875"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土地案例" sheetId="68"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8" hidden="1">土地案例!$A$1:$AR$151</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L13" i="3" l="1"/>
  <c r="L14" i="1"/>
  <c r="I13" i="3"/>
  <c r="K13" i="3" l="1"/>
  <c r="A13" i="3"/>
  <c r="C15" i="39"/>
  <c r="I40" i="39" l="1"/>
  <c r="G40" i="39"/>
  <c r="I48" i="39"/>
  <c r="G48" i="39"/>
  <c r="I9" i="39"/>
  <c r="G9" i="39"/>
  <c r="D8" i="12"/>
  <c r="E48" i="39"/>
  <c r="E40" i="39"/>
  <c r="I15" i="39"/>
  <c r="G15" i="39"/>
  <c r="E15" i="39"/>
  <c r="E9" i="39"/>
  <c r="M23" i="1" l="1"/>
  <c r="AS21" i="68"/>
  <c r="AT17" i="68"/>
  <c r="AS17" i="68"/>
  <c r="AT56" i="68"/>
  <c r="D73" i="39" l="1"/>
  <c r="E73" i="39" s="1"/>
  <c r="F73" i="39" s="1"/>
  <c r="G73" i="39" s="1"/>
  <c r="F19" i="6"/>
  <c r="E19" i="6" s="1"/>
  <c r="F26" i="43"/>
  <c r="AH5" i="59"/>
  <c r="AG5" i="59"/>
  <c r="AE5" i="59"/>
  <c r="AF5" i="59"/>
  <c r="AD5" i="59"/>
  <c r="Q5" i="59"/>
  <c r="P5" i="59"/>
  <c r="O5" i="59"/>
  <c r="N5" i="59"/>
  <c r="AH6" i="59"/>
  <c r="AG6" i="59"/>
  <c r="AE6" i="59"/>
  <c r="AF6" i="59"/>
  <c r="AD6" i="59"/>
  <c r="Q6" i="59"/>
  <c r="AB5" i="59"/>
  <c r="P6" i="59"/>
  <c r="AA5" i="59"/>
  <c r="O6" i="59"/>
  <c r="Y5" i="59"/>
  <c r="Z5" i="59"/>
  <c r="N6" i="59"/>
  <c r="X5" i="59"/>
  <c r="E20" i="46"/>
  <c r="AH7" i="59"/>
  <c r="AG7" i="59"/>
  <c r="AE7" i="59"/>
  <c r="AF7" i="59"/>
  <c r="AD7" i="59"/>
  <c r="Q7" i="59"/>
  <c r="AB6" i="59"/>
  <c r="P7" i="59"/>
  <c r="AA6" i="59"/>
  <c r="O7" i="59"/>
  <c r="Y6" i="59"/>
  <c r="Z6" i="59"/>
  <c r="N7" i="59"/>
  <c r="X6" i="59"/>
  <c r="AH8" i="59"/>
  <c r="AG8" i="59"/>
  <c r="AE8" i="59"/>
  <c r="AF8" i="59"/>
  <c r="AD8" i="59"/>
  <c r="Q8" i="59"/>
  <c r="P8" i="59"/>
  <c r="O8" i="59"/>
  <c r="N8" i="59"/>
  <c r="AH9" i="59"/>
  <c r="AG9" i="59"/>
  <c r="AE9" i="59"/>
  <c r="AF9" i="59"/>
  <c r="AD9" i="59"/>
  <c r="Q9" i="59"/>
  <c r="AB8" i="59"/>
  <c r="P9" i="59"/>
  <c r="AA8" i="59"/>
  <c r="O9" i="59"/>
  <c r="Y8" i="59"/>
  <c r="Z8" i="59"/>
  <c r="N9" i="59"/>
  <c r="X7" i="59"/>
  <c r="X8" i="59"/>
  <c r="AA7" i="59"/>
  <c r="AB7" i="59"/>
  <c r="Y7" i="59"/>
  <c r="Z7" i="59" s="1"/>
  <c r="C19" i="46" s="1"/>
  <c r="C16" i="11"/>
  <c r="C15" i="11"/>
  <c r="C14" i="11"/>
  <c r="C9" i="11"/>
  <c r="C8" i="11"/>
  <c r="K36" i="36"/>
  <c r="K38" i="35"/>
  <c r="K42" i="37"/>
  <c r="K49" i="34"/>
  <c r="K48" i="33"/>
  <c r="K48" i="21"/>
  <c r="K44" i="40"/>
  <c r="K49" i="39"/>
  <c r="E77" i="9"/>
  <c r="F77" i="9"/>
  <c r="AH10" i="59"/>
  <c r="AG10" i="59"/>
  <c r="AE10" i="59"/>
  <c r="AF10" i="59"/>
  <c r="AD10" i="59"/>
  <c r="Q10" i="59"/>
  <c r="AB9" i="59"/>
  <c r="P10" i="59"/>
  <c r="AA9" i="59"/>
  <c r="O10" i="59"/>
  <c r="Y9" i="59"/>
  <c r="Z9" i="59"/>
  <c r="N10" i="59"/>
  <c r="X9" i="59"/>
  <c r="A21" i="31"/>
  <c r="C109" i="9"/>
  <c r="V12" i="59"/>
  <c r="U12" i="59"/>
  <c r="T12" i="59"/>
  <c r="S12" i="59"/>
  <c r="AH11" i="59"/>
  <c r="AG11" i="59"/>
  <c r="AE11" i="59"/>
  <c r="AF11" i="59"/>
  <c r="AD11" i="59"/>
  <c r="Q11" i="59"/>
  <c r="AB10" i="59"/>
  <c r="P11" i="59"/>
  <c r="AA10" i="59"/>
  <c r="O11" i="59"/>
  <c r="Y10" i="59"/>
  <c r="Z10" i="59"/>
  <c r="N11" i="59"/>
  <c r="X10" i="59"/>
  <c r="Q13" i="59"/>
  <c r="AB13" i="59"/>
  <c r="P13" i="59"/>
  <c r="AA13" i="59"/>
  <c r="O13" i="59"/>
  <c r="Y13" i="59"/>
  <c r="Z13" i="59"/>
  <c r="N13" i="59"/>
  <c r="X13" i="59"/>
  <c r="X12" i="59"/>
  <c r="AH12" i="59"/>
  <c r="AG12" i="59"/>
  <c r="AE12" i="59"/>
  <c r="AF12" i="59"/>
  <c r="AD12" i="59"/>
  <c r="Q12" i="59"/>
  <c r="AB11" i="59"/>
  <c r="P12" i="59"/>
  <c r="AA11" i="59"/>
  <c r="O12" i="59"/>
  <c r="N12" i="59"/>
  <c r="F13" i="59"/>
  <c r="F12" i="59"/>
  <c r="F11" i="59"/>
  <c r="F10" i="59"/>
  <c r="F9" i="59"/>
  <c r="F8" i="59"/>
  <c r="E13" i="59"/>
  <c r="C13" i="59"/>
  <c r="C12" i="59"/>
  <c r="C11" i="59"/>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c r="K3" i="59"/>
  <c r="AG3" i="59"/>
  <c r="J3" i="59"/>
  <c r="AE3" i="59"/>
  <c r="AF3" i="59"/>
  <c r="I3" i="59"/>
  <c r="AD3" i="59"/>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s="1"/>
  <c r="T20" i="59"/>
  <c r="D2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M16" i="4"/>
  <c r="N16" i="4" s="1"/>
  <c r="K16" i="4"/>
  <c r="L16" i="4" s="1"/>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C30" i="44"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F6" i="1" s="1"/>
  <c r="I19" i="4"/>
  <c r="H19" i="4"/>
  <c r="G19" i="4"/>
  <c r="F9" i="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21" i="6"/>
  <c r="K8" i="1"/>
  <c r="M8" i="1" s="1"/>
  <c r="E22" i="6"/>
  <c r="E23" i="6"/>
  <c r="E24" i="6"/>
  <c r="E25" i="6"/>
  <c r="E26" i="6"/>
  <c r="D38" i="4"/>
  <c r="C39" i="4" s="1"/>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K9" i="43"/>
  <c r="J9" i="43"/>
  <c r="I9" i="43"/>
  <c r="H9" i="43"/>
  <c r="G9" i="43"/>
  <c r="F9" i="43"/>
  <c r="E9" i="43"/>
  <c r="D9" i="43"/>
  <c r="C9" i="43"/>
  <c r="C6" i="4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E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c r="E52" i="37" s="1"/>
  <c r="F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O9" i="1" s="1"/>
  <c r="P9" i="1" s="1"/>
  <c r="B7" i="1"/>
  <c r="E7" i="1"/>
  <c r="AP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U11" i="39"/>
  <c r="U41" i="39"/>
  <c r="U23" i="39"/>
  <c r="AB38" i="39"/>
  <c r="U31" i="39"/>
  <c r="AB31" i="39"/>
  <c r="S25" i="39"/>
  <c r="S38" i="39"/>
  <c r="S22" i="31"/>
  <c r="D18" i="9"/>
  <c r="M44" i="9"/>
  <c r="M43" i="9"/>
  <c r="B22" i="63"/>
  <c r="M20" i="15"/>
  <c r="D96" i="9"/>
  <c r="M18" i="15"/>
  <c r="A18" i="64"/>
  <c r="B74" i="63"/>
  <c r="C53" i="10"/>
  <c r="A25" i="64" s="1"/>
  <c r="A18" i="51"/>
  <c r="B14" i="63"/>
  <c r="BA16" i="3"/>
  <c r="BA17" i="3"/>
  <c r="AZ17" i="3"/>
  <c r="F3" i="35"/>
  <c r="K1" i="43"/>
  <c r="K1" i="12"/>
  <c r="G1" i="44"/>
  <c r="G3" i="46"/>
  <c r="AZ15" i="3"/>
  <c r="BK5" i="3"/>
  <c r="BO5" i="3"/>
  <c r="BP5" i="3"/>
  <c r="BN5" i="3"/>
  <c r="BL18" i="3"/>
  <c r="AZ18" i="3"/>
  <c r="BD5" i="3"/>
  <c r="BR5" i="3"/>
  <c r="BS5" i="3"/>
  <c r="BQ5" i="3"/>
  <c r="BL16"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G20" i="46"/>
  <c r="B6" i="63"/>
  <c r="L5" i="54"/>
  <c r="B39" i="63"/>
  <c r="K5" i="54"/>
  <c r="B38" i="63"/>
  <c r="T41" i="4"/>
  <c r="A17" i="64"/>
  <c r="B46" i="50"/>
  <c r="B4" i="63" s="1"/>
  <c r="C46" i="36"/>
  <c r="D46" i="36"/>
  <c r="E46" i="36" s="1"/>
  <c r="F46" i="36" s="1"/>
  <c r="G46" i="36" s="1"/>
  <c r="H46" i="36" s="1"/>
  <c r="I46" i="36" s="1"/>
  <c r="J46" i="36" s="1"/>
  <c r="K46" i="36" s="1"/>
  <c r="L46" i="36" s="1"/>
  <c r="M46" i="36" s="1"/>
  <c r="H86" i="46"/>
  <c r="H82"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D12" i="11" s="1"/>
  <c r="C12" i="11" s="1"/>
  <c r="AT6" i="3"/>
  <c r="G29" i="6"/>
  <c r="AZ16" i="3"/>
  <c r="A9" i="64"/>
  <c r="A9" i="51"/>
  <c r="B9" i="63"/>
  <c r="A3" i="55"/>
  <c r="B56" i="63"/>
  <c r="G66" i="36"/>
  <c r="J18" i="36"/>
  <c r="AE8" i="1"/>
  <c r="AE7" i="1"/>
  <c r="AE6" i="1"/>
  <c r="W18" i="36"/>
  <c r="AC18" i="36"/>
  <c r="AG6" i="1"/>
  <c r="L20" i="6"/>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19" i="59"/>
  <c r="C18" i="59"/>
  <c r="D18" i="59"/>
  <c r="U16" i="59"/>
  <c r="F19" i="59"/>
  <c r="F18" i="59"/>
  <c r="F17" i="59"/>
  <c r="F16" i="59"/>
  <c r="Y18" i="59"/>
  <c r="Z18" i="59"/>
  <c r="AA18" i="59"/>
  <c r="AB18" i="59"/>
  <c r="Y17" i="59"/>
  <c r="Z17" i="59"/>
  <c r="Y16" i="59"/>
  <c r="Z16" i="59"/>
  <c r="Z14" i="59"/>
  <c r="Y15" i="59"/>
  <c r="Z15" i="59"/>
  <c r="AB17" i="59"/>
  <c r="AB16" i="59"/>
  <c r="AB15" i="59"/>
  <c r="AA20" i="59"/>
  <c r="X18" i="59"/>
  <c r="X16" i="59"/>
  <c r="X15" i="59"/>
  <c r="AA16" i="59"/>
  <c r="AA15"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G17" i="46"/>
  <c r="C16" i="46"/>
  <c r="H63" i="46"/>
  <c r="I101" i="46"/>
  <c r="I105" i="46" s="1"/>
  <c r="M101" i="46"/>
  <c r="M106" i="46" s="1"/>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7" i="59"/>
  <c r="C16" i="59"/>
  <c r="T16" i="59"/>
  <c r="B17" i="59"/>
  <c r="B16" i="59"/>
  <c r="S16" i="59"/>
  <c r="D17" i="59"/>
  <c r="V16" i="59"/>
  <c r="D16" i="59"/>
  <c r="C5" i="46"/>
  <c r="D5" i="46"/>
  <c r="K104" i="46"/>
  <c r="C23" i="46"/>
  <c r="D116" i="46"/>
  <c r="E116" i="46" s="1"/>
  <c r="F116" i="46" s="1"/>
  <c r="G116" i="46" s="1"/>
  <c r="H116" i="46" s="1"/>
  <c r="B118" i="46"/>
  <c r="C118" i="46" s="1"/>
  <c r="C7" i="46"/>
  <c r="D15" i="59"/>
  <c r="D14" i="59"/>
  <c r="E41" i="46"/>
  <c r="C41" i="46"/>
  <c r="G105" i="46"/>
  <c r="D118" i="46"/>
  <c r="E118" i="46" s="1"/>
  <c r="F118" i="46" s="1"/>
  <c r="E102" i="46"/>
  <c r="G28" i="6"/>
  <c r="G27" i="12"/>
  <c r="F34" i="44"/>
  <c r="F24" i="43"/>
  <c r="M102" i="46"/>
  <c r="F109" i="46"/>
  <c r="C25" i="43"/>
  <c r="C24" i="43"/>
  <c r="C2" i="65"/>
  <c r="G20" i="43"/>
  <c r="G26" i="12"/>
  <c r="F70" i="9"/>
  <c r="F66" i="9"/>
  <c r="P72" i="9"/>
  <c r="F28" i="15"/>
  <c r="F30" i="44"/>
  <c r="D86" i="9"/>
  <c r="F29" i="12"/>
  <c r="F32" i="15"/>
  <c r="F59" i="15"/>
  <c r="F71" i="9"/>
  <c r="L106" i="46"/>
  <c r="M109" i="46"/>
  <c r="E28" i="6"/>
  <c r="G30" i="6"/>
  <c r="G31" i="6"/>
  <c r="O12" i="1"/>
  <c r="P12" i="1" s="1"/>
  <c r="O10" i="1"/>
  <c r="P10" i="1" s="1"/>
  <c r="O13" i="1"/>
  <c r="P13" i="1" s="1"/>
  <c r="G6" i="1"/>
  <c r="A25" i="51"/>
  <c r="B18" i="63" s="1"/>
  <c r="G10" i="1"/>
  <c r="G13" i="1"/>
  <c r="F7" i="59"/>
  <c r="V8" i="59"/>
  <c r="C95" i="9"/>
  <c r="C92" i="9" s="1"/>
  <c r="C25" i="12"/>
  <c r="C28" i="15"/>
  <c r="D23" i="15"/>
  <c r="D59" i="34"/>
  <c r="E59" i="34" s="1"/>
  <c r="F59" i="34" s="1"/>
  <c r="D70" i="39"/>
  <c r="E70" i="39" s="1"/>
  <c r="C67" i="40"/>
  <c r="C18" i="11"/>
  <c r="K77" i="9"/>
  <c r="K79" i="9"/>
  <c r="K81" i="9"/>
  <c r="D11" i="59"/>
  <c r="C10" i="59"/>
  <c r="E12" i="59"/>
  <c r="E11" i="59"/>
  <c r="E10" i="59"/>
  <c r="E9" i="59"/>
  <c r="E8" i="59"/>
  <c r="B12" i="59"/>
  <c r="B11" i="59"/>
  <c r="B10" i="59"/>
  <c r="B9" i="59"/>
  <c r="B8" i="59"/>
  <c r="X11" i="59"/>
  <c r="Y11" i="59"/>
  <c r="Z11" i="59"/>
  <c r="Y3" i="59"/>
  <c r="Z3" i="59"/>
  <c r="AB12" i="59"/>
  <c r="AA12" i="59"/>
  <c r="D12" i="59"/>
  <c r="Y12" i="59"/>
  <c r="Z12" i="59"/>
  <c r="P22" i="46"/>
  <c r="P24" i="46"/>
  <c r="B68" i="40" s="1"/>
  <c r="P23" i="46"/>
  <c r="P25" i="46"/>
  <c r="B73" i="39"/>
  <c r="P21" i="46"/>
  <c r="I1" i="65"/>
  <c r="K14" i="1"/>
  <c r="M14" i="1" s="1"/>
  <c r="F6" i="59"/>
  <c r="B7" i="59"/>
  <c r="S8" i="59"/>
  <c r="E7" i="59"/>
  <c r="U8" i="59"/>
  <c r="D67" i="40"/>
  <c r="D72" i="39"/>
  <c r="D10" i="59"/>
  <c r="C9" i="59"/>
  <c r="M28" i="46"/>
  <c r="P28" i="46"/>
  <c r="O28" i="46"/>
  <c r="N28" i="46"/>
  <c r="F5" i="59"/>
  <c r="V5" i="59"/>
  <c r="E6" i="59"/>
  <c r="B6" i="59"/>
  <c r="F70" i="39"/>
  <c r="E72" i="39"/>
  <c r="E67" i="40"/>
  <c r="F65" i="40"/>
  <c r="G65" i="40" s="1"/>
  <c r="G67" i="40" s="1"/>
  <c r="D9" i="59"/>
  <c r="C8" i="59"/>
  <c r="B5" i="59"/>
  <c r="S5" i="59"/>
  <c r="E5" i="59"/>
  <c r="U5" i="59"/>
  <c r="C7" i="59"/>
  <c r="C6" i="59"/>
  <c r="C5" i="59"/>
  <c r="T8" i="59"/>
  <c r="F67" i="40"/>
  <c r="G70" i="39"/>
  <c r="F72" i="39"/>
  <c r="D8" i="59"/>
  <c r="T5" i="59"/>
  <c r="D5" i="59"/>
  <c r="D6" i="59"/>
  <c r="D7" i="59"/>
  <c r="M20" i="46"/>
  <c r="H70" i="39"/>
  <c r="I70" i="39" s="1"/>
  <c r="G72" i="39"/>
  <c r="H65" i="40"/>
  <c r="H67" i="40" s="1"/>
  <c r="D77" i="9"/>
  <c r="N75" i="9"/>
  <c r="D66" i="9"/>
  <c r="N72" i="9"/>
  <c r="I65" i="40"/>
  <c r="J65" i="40" s="1"/>
  <c r="H72" i="39"/>
  <c r="N46" i="36"/>
  <c r="O46" i="36" s="1"/>
  <c r="I67" i="40"/>
  <c r="E14" i="67"/>
  <c r="F37" i="15"/>
  <c r="M26" i="15"/>
  <c r="M11" i="44"/>
  <c r="B11" i="67"/>
  <c r="F43" i="44"/>
  <c r="F10" i="44"/>
  <c r="F16" i="15"/>
  <c r="B12" i="67"/>
  <c r="M8" i="44"/>
  <c r="L48" i="15"/>
  <c r="M23" i="15"/>
  <c r="M6" i="15"/>
  <c r="I5" i="65"/>
  <c r="F41" i="15"/>
  <c r="F14" i="67"/>
  <c r="M25" i="44"/>
  <c r="F7" i="15"/>
  <c r="B14" i="67"/>
  <c r="E11" i="67"/>
  <c r="M24" i="15"/>
  <c r="F38" i="15"/>
  <c r="F18" i="44"/>
  <c r="F7" i="67"/>
  <c r="F9" i="67"/>
  <c r="N4" i="65"/>
  <c r="J36" i="15"/>
  <c r="F45" i="44"/>
  <c r="M23" i="44"/>
  <c r="B13" i="67"/>
  <c r="F9" i="44"/>
  <c r="F43" i="15"/>
  <c r="F6" i="15"/>
  <c r="F8" i="44"/>
  <c r="M22" i="15"/>
  <c r="I4" i="65"/>
  <c r="I7" i="65"/>
  <c r="B8" i="67"/>
  <c r="F10" i="67"/>
  <c r="N6" i="65"/>
  <c r="E7" i="67"/>
  <c r="M26" i="44"/>
  <c r="I3" i="65"/>
  <c r="M29" i="44"/>
  <c r="F38" i="44"/>
  <c r="F42" i="15"/>
  <c r="M21" i="15"/>
  <c r="F28" i="44"/>
  <c r="L48" i="44"/>
  <c r="M31" i="44"/>
  <c r="F39" i="44"/>
  <c r="N5" i="65"/>
  <c r="E8" i="67"/>
  <c r="F8" i="67"/>
  <c r="F37" i="44"/>
  <c r="J15" i="15"/>
  <c r="F46" i="44"/>
  <c r="E13" i="67"/>
  <c r="F11" i="67"/>
  <c r="M10" i="44"/>
  <c r="F35" i="15"/>
  <c r="E10" i="67"/>
  <c r="F36" i="15"/>
  <c r="F13" i="67"/>
  <c r="F9" i="15"/>
  <c r="F8" i="15"/>
  <c r="M30" i="44"/>
  <c r="M28" i="15"/>
  <c r="N7" i="65"/>
  <c r="L49" i="44"/>
  <c r="M8" i="15"/>
  <c r="E9" i="67"/>
  <c r="F40" i="15"/>
  <c r="F11" i="44"/>
  <c r="L47" i="15"/>
  <c r="F26" i="15"/>
  <c r="F12" i="67"/>
  <c r="M24" i="44"/>
  <c r="J5" i="65"/>
  <c r="J3" i="65"/>
  <c r="B10" i="67"/>
  <c r="C19" i="44"/>
  <c r="M9" i="15"/>
  <c r="F15" i="44"/>
  <c r="N3" i="65"/>
  <c r="J6" i="65"/>
  <c r="J17" i="44"/>
  <c r="M29" i="15"/>
  <c r="F40" i="44"/>
  <c r="E12" i="67"/>
  <c r="F13" i="15"/>
  <c r="M27" i="15"/>
  <c r="I6" i="65"/>
  <c r="B9" i="67"/>
  <c r="J7" i="65"/>
  <c r="M28" i="44"/>
  <c r="B7" i="67"/>
  <c r="J4" i="65"/>
  <c r="F29" i="6" l="1"/>
  <c r="F30" i="6" s="1"/>
  <c r="BL13" i="3"/>
  <c r="BL5" i="3" s="1"/>
  <c r="D104" i="46"/>
  <c r="H105" i="46"/>
  <c r="H109" i="46"/>
  <c r="H104" i="46"/>
  <c r="D106" i="46"/>
  <c r="H106" i="46"/>
  <c r="E103" i="46"/>
  <c r="F103" i="46"/>
  <c r="M107" i="46"/>
  <c r="B115" i="46"/>
  <c r="C115" i="46" s="1"/>
  <c r="B117" i="46"/>
  <c r="C117" i="46" s="1"/>
  <c r="E109" i="46"/>
  <c r="G104" i="46"/>
  <c r="D115" i="46"/>
  <c r="E115" i="46" s="1"/>
  <c r="F115" i="46" s="1"/>
  <c r="I118" i="46"/>
  <c r="J118" i="46" s="1"/>
  <c r="K118" i="46" s="1"/>
  <c r="L118" i="46" s="1"/>
  <c r="M118" i="46" s="1"/>
  <c r="E105" i="46"/>
  <c r="M103" i="46"/>
  <c r="M104" i="46"/>
  <c r="E107" i="46"/>
  <c r="F102" i="46"/>
  <c r="D107" i="46"/>
  <c r="M105" i="46"/>
  <c r="D103" i="46"/>
  <c r="D109" i="46"/>
  <c r="D102" i="46"/>
  <c r="H107" i="46"/>
  <c r="H103" i="46"/>
  <c r="E104" i="46"/>
  <c r="L104" i="46"/>
  <c r="B116" i="46"/>
  <c r="C116" i="46" s="1"/>
  <c r="I117" i="46"/>
  <c r="J117" i="46" s="1"/>
  <c r="K117" i="46" s="1"/>
  <c r="L117" i="46" s="1"/>
  <c r="M117" i="46" s="1"/>
  <c r="G102" i="46"/>
  <c r="G109" i="46"/>
  <c r="D21" i="12"/>
  <c r="C21" i="12" s="1"/>
  <c r="G107" i="46"/>
  <c r="G106" i="46"/>
  <c r="G118" i="46"/>
  <c r="H118" i="46" s="1"/>
  <c r="D117" i="46"/>
  <c r="E117" i="46" s="1"/>
  <c r="F117" i="46" s="1"/>
  <c r="G117" i="46" s="1"/>
  <c r="H117" i="46" s="1"/>
  <c r="I116" i="46"/>
  <c r="J116" i="46" s="1"/>
  <c r="K116" i="46" s="1"/>
  <c r="L116" i="46" s="1"/>
  <c r="M116" i="46" s="1"/>
  <c r="L102" i="46"/>
  <c r="D22" i="46"/>
  <c r="C21" i="46" s="1"/>
  <c r="C29" i="46" s="1"/>
  <c r="C30" i="46" s="1"/>
  <c r="E30" i="46" s="1"/>
  <c r="J105" i="46"/>
  <c r="N106" i="46"/>
  <c r="C106" i="46"/>
  <c r="K105" i="46"/>
  <c r="I102" i="46"/>
  <c r="N109" i="46"/>
  <c r="C105" i="46"/>
  <c r="N107" i="46"/>
  <c r="I107" i="46"/>
  <c r="J102" i="46"/>
  <c r="J107" i="46"/>
  <c r="C38" i="46"/>
  <c r="C39" i="46"/>
  <c r="K17" i="4"/>
  <c r="A22" i="51" s="1"/>
  <c r="B16" i="63" s="1"/>
  <c r="T14" i="46"/>
  <c r="V14" i="46" s="1"/>
  <c r="C36" i="46"/>
  <c r="T11" i="46"/>
  <c r="V11" i="46" s="1"/>
  <c r="T15" i="46"/>
  <c r="V15" i="46" s="1"/>
  <c r="T12" i="46"/>
  <c r="V12" i="46" s="1"/>
  <c r="C34" i="46"/>
  <c r="T16" i="46"/>
  <c r="V16" i="46" s="1"/>
  <c r="T10" i="46"/>
  <c r="V10" i="46" s="1"/>
  <c r="T8" i="46"/>
  <c r="V8" i="46" s="1"/>
  <c r="T9" i="46"/>
  <c r="V9" i="46" s="1"/>
  <c r="C35" i="46"/>
  <c r="T13" i="46"/>
  <c r="V13" i="46" s="1"/>
  <c r="C33" i="46"/>
  <c r="C37" i="46"/>
  <c r="J70" i="39"/>
  <c r="I72" i="39"/>
  <c r="J7" i="36"/>
  <c r="H7" i="36"/>
  <c r="J67" i="40"/>
  <c r="K65" i="40"/>
  <c r="G59" i="34"/>
  <c r="H59" i="34" s="1"/>
  <c r="I59" i="34" s="1"/>
  <c r="J59" i="34" s="1"/>
  <c r="K59" i="34" s="1"/>
  <c r="L59" i="34" s="1"/>
  <c r="M59" i="34" s="1"/>
  <c r="N59" i="34" s="1"/>
  <c r="O59" i="34" s="1"/>
  <c r="F7" i="34"/>
  <c r="F7" i="36"/>
  <c r="E58" i="21"/>
  <c r="F58" i="21" s="1"/>
  <c r="G58" i="21" s="1"/>
  <c r="H58" i="21" s="1"/>
  <c r="I58" i="21" s="1"/>
  <c r="J58" i="21" s="1"/>
  <c r="K58" i="21" s="1"/>
  <c r="L58" i="21" s="1"/>
  <c r="M58" i="21" s="1"/>
  <c r="N58" i="21" s="1"/>
  <c r="O58" i="21" s="1"/>
  <c r="G52" i="37"/>
  <c r="H52" i="37" s="1"/>
  <c r="I52" i="37" s="1"/>
  <c r="J52" i="37" s="1"/>
  <c r="K52" i="37" s="1"/>
  <c r="L52" i="37" s="1"/>
  <c r="M52" i="37" s="1"/>
  <c r="N52" i="37" s="1"/>
  <c r="O52" i="37" s="1"/>
  <c r="H7" i="37"/>
  <c r="J7" i="21"/>
  <c r="H7" i="21"/>
  <c r="D58" i="33"/>
  <c r="H7" i="34"/>
  <c r="J7" i="34"/>
  <c r="D48" i="35"/>
  <c r="B15" i="52"/>
  <c r="E8" i="52"/>
  <c r="AP9" i="1"/>
  <c r="G9" i="1"/>
  <c r="O14" i="1"/>
  <c r="P14" i="1" s="1"/>
  <c r="J104" i="46"/>
  <c r="C107" i="46"/>
  <c r="J109" i="46"/>
  <c r="I104" i="46"/>
  <c r="I103" i="46"/>
  <c r="N102" i="46"/>
  <c r="K106" i="46"/>
  <c r="I109" i="46"/>
  <c r="I106" i="46"/>
  <c r="N103" i="46"/>
  <c r="C104" i="46"/>
  <c r="N104" i="46"/>
  <c r="C103" i="46"/>
  <c r="J103" i="46"/>
  <c r="C102" i="46"/>
  <c r="S4" i="46" s="1"/>
  <c r="T4" i="46" s="1"/>
  <c r="V4" i="46" s="1"/>
  <c r="K109" i="46"/>
  <c r="O11" i="1"/>
  <c r="P11" i="1" s="1"/>
  <c r="G115" i="46"/>
  <c r="H115" i="46" s="1"/>
  <c r="S5" i="46"/>
  <c r="T5" i="46" s="1"/>
  <c r="V5" i="46" s="1"/>
  <c r="O8" i="1"/>
  <c r="P8" i="1" s="1"/>
  <c r="E32" i="6"/>
  <c r="C9" i="12"/>
  <c r="C10" i="12" s="1"/>
  <c r="K6" i="1"/>
  <c r="K102" i="46"/>
  <c r="L103" i="46"/>
  <c r="L107" i="46"/>
  <c r="L109" i="46"/>
  <c r="K107" i="46"/>
  <c r="H73" i="39"/>
  <c r="B7" i="52"/>
  <c r="E12" i="52"/>
  <c r="AB15" i="39"/>
  <c r="E13" i="52"/>
  <c r="S15" i="39"/>
  <c r="W15" i="39"/>
  <c r="B6" i="52"/>
  <c r="E9" i="52"/>
  <c r="E5" i="52"/>
  <c r="B11" i="52"/>
  <c r="E10" i="52"/>
  <c r="B9" i="52"/>
  <c r="E6" i="52"/>
  <c r="C4" i="4" s="1"/>
  <c r="B20" i="55" s="1"/>
  <c r="B70" i="63" s="1"/>
  <c r="B14" i="52"/>
  <c r="B12" i="52"/>
  <c r="B5" i="52"/>
  <c r="B10" i="52"/>
  <c r="B8" i="52"/>
  <c r="E4" i="52"/>
  <c r="E7" i="52"/>
  <c r="E11" i="52"/>
  <c r="E4" i="4" s="1"/>
  <c r="B21" i="55" s="1"/>
  <c r="B72" i="63" s="1"/>
  <c r="E14" i="52"/>
  <c r="B4" i="52"/>
  <c r="B2" i="67"/>
  <c r="J22" i="44"/>
  <c r="F62" i="15"/>
  <c r="C61" i="15" s="1"/>
  <c r="C34" i="15"/>
  <c r="J20" i="15"/>
  <c r="C36" i="44"/>
  <c r="E3" i="67"/>
  <c r="E4" i="67"/>
  <c r="C29" i="44"/>
  <c r="J53" i="15"/>
  <c r="L56" i="15"/>
  <c r="J57" i="15"/>
  <c r="J55" i="15" s="1"/>
  <c r="J58" i="15" s="1"/>
  <c r="Q51" i="15" s="1"/>
  <c r="I54" i="15"/>
  <c r="Q73" i="44"/>
  <c r="L60" i="44"/>
  <c r="L59" i="44"/>
  <c r="M7" i="15"/>
  <c r="M17" i="15" s="1"/>
  <c r="F49" i="15"/>
  <c r="F33" i="44"/>
  <c r="C8" i="44"/>
  <c r="F50" i="15"/>
  <c r="F65" i="15"/>
  <c r="F70" i="15"/>
  <c r="C27" i="15"/>
  <c r="F64" i="15"/>
  <c r="I55" i="44"/>
  <c r="L57" i="44"/>
  <c r="J61" i="44"/>
  <c r="Q50" i="44" s="1"/>
  <c r="J54" i="44"/>
  <c r="J58" i="44"/>
  <c r="J56" i="44" s="1"/>
  <c r="J59" i="44" s="1"/>
  <c r="Q52" i="44" s="1"/>
  <c r="J60" i="44"/>
  <c r="J1" i="65"/>
  <c r="Q72" i="15"/>
  <c r="F31" i="15"/>
  <c r="C6" i="15"/>
  <c r="F68" i="15"/>
  <c r="M9" i="44"/>
  <c r="J8" i="44" s="1"/>
  <c r="L59" i="15"/>
  <c r="L58" i="15"/>
  <c r="F67" i="15"/>
  <c r="F63" i="15"/>
  <c r="C4" i="65"/>
  <c r="B39" i="1" s="1"/>
  <c r="E2" i="65"/>
  <c r="C18" i="44"/>
  <c r="C16" i="15"/>
  <c r="C17" i="15"/>
  <c r="E3" i="65"/>
  <c r="L19" i="6" l="1"/>
  <c r="L27" i="6" s="1"/>
  <c r="E29" i="6"/>
  <c r="K15" i="1"/>
  <c r="E30" i="6"/>
  <c r="S6" i="46"/>
  <c r="T6" i="46" s="1"/>
  <c r="V6" i="46" s="1"/>
  <c r="S3" i="46"/>
  <c r="T3" i="46" s="1"/>
  <c r="V3" i="46" s="1"/>
  <c r="E39" i="46"/>
  <c r="G39" i="46"/>
  <c r="I39" i="46" s="1"/>
  <c r="G38" i="46"/>
  <c r="I38" i="46" s="1"/>
  <c r="E38" i="46"/>
  <c r="E29" i="46"/>
  <c r="C26" i="46" s="1"/>
  <c r="B2" i="46" s="1"/>
  <c r="B3" i="46" s="1"/>
  <c r="G37" i="46"/>
  <c r="I37" i="46" s="1"/>
  <c r="E37" i="46"/>
  <c r="E34" i="46"/>
  <c r="G34" i="46"/>
  <c r="I34" i="46" s="1"/>
  <c r="E36" i="46"/>
  <c r="G36" i="46"/>
  <c r="I36" i="46" s="1"/>
  <c r="E33" i="46"/>
  <c r="G33" i="46"/>
  <c r="I33" i="46" s="1"/>
  <c r="C27" i="46" s="1"/>
  <c r="G35" i="46"/>
  <c r="I35" i="46" s="1"/>
  <c r="E35" i="46"/>
  <c r="E48" i="35"/>
  <c r="U7" i="34"/>
  <c r="AB7" i="34"/>
  <c r="T49" i="34" s="1"/>
  <c r="G49" i="34" s="1"/>
  <c r="E58" i="33"/>
  <c r="AC7" i="21"/>
  <c r="V48" i="21" s="1"/>
  <c r="I48" i="21" s="1"/>
  <c r="W7" i="21"/>
  <c r="J7" i="37"/>
  <c r="F7" i="37"/>
  <c r="F7" i="21"/>
  <c r="S7" i="36"/>
  <c r="AA7" i="36"/>
  <c r="R36" i="36" s="1"/>
  <c r="AC7" i="36"/>
  <c r="V36" i="36" s="1"/>
  <c r="I36" i="36" s="1"/>
  <c r="W7" i="36"/>
  <c r="K70" i="39"/>
  <c r="J72" i="39"/>
  <c r="W7" i="34"/>
  <c r="AC7" i="34"/>
  <c r="V49" i="34" s="1"/>
  <c r="I49" i="34" s="1"/>
  <c r="U7" i="21"/>
  <c r="AB7" i="21"/>
  <c r="T48" i="21" s="1"/>
  <c r="G48" i="21" s="1"/>
  <c r="AB7" i="37"/>
  <c r="T42" i="37" s="1"/>
  <c r="G42" i="37" s="1"/>
  <c r="U7" i="37"/>
  <c r="AA7" i="34"/>
  <c r="R49" i="34" s="1"/>
  <c r="S7" i="34"/>
  <c r="L65" i="40"/>
  <c r="K67" i="40"/>
  <c r="U7" i="36"/>
  <c r="AB7" i="36"/>
  <c r="T36" i="36" s="1"/>
  <c r="G36" i="36" s="1"/>
  <c r="S2" i="46"/>
  <c r="T2" i="46" s="1"/>
  <c r="V2" i="46" s="1"/>
  <c r="S7" i="46"/>
  <c r="T7" i="46" s="1"/>
  <c r="V7" i="46" s="1"/>
  <c r="D113" i="46"/>
  <c r="BC13" i="3"/>
  <c r="K5" i="3"/>
  <c r="F20" i="6"/>
  <c r="E20" i="6" s="1"/>
  <c r="H13" i="3"/>
  <c r="I73" i="39"/>
  <c r="J73" i="39" s="1"/>
  <c r="M6" i="1"/>
  <c r="O6" i="1" s="1"/>
  <c r="J6" i="15"/>
  <c r="J18" i="15" s="1"/>
  <c r="B40" i="1"/>
  <c r="F24" i="15" s="1"/>
  <c r="C24" i="15" s="1"/>
  <c r="C48" i="15"/>
  <c r="F17" i="11"/>
  <c r="C17" i="11" s="1"/>
  <c r="C19" i="11" s="1"/>
  <c r="J20" i="44"/>
  <c r="F11" i="15"/>
  <c r="M13" i="44"/>
  <c r="J12" i="44" s="1"/>
  <c r="J7" i="44" s="1"/>
  <c r="M11" i="15"/>
  <c r="J10" i="15" s="1"/>
  <c r="F13" i="44"/>
  <c r="C12" i="44" s="1"/>
  <c r="C7" i="44" s="1"/>
  <c r="Q61" i="15"/>
  <c r="Q74" i="15"/>
  <c r="F1" i="44"/>
  <c r="Q54" i="44"/>
  <c r="M19" i="44"/>
  <c r="Q75" i="44"/>
  <c r="Q62" i="44"/>
  <c r="Q75" i="15"/>
  <c r="Q62" i="15"/>
  <c r="L47" i="44"/>
  <c r="C34" i="44"/>
  <c r="Q76" i="44"/>
  <c r="Q63" i="44"/>
  <c r="C32" i="15"/>
  <c r="F58" i="15"/>
  <c r="F1" i="15"/>
  <c r="Q53" i="15"/>
  <c r="B4" i="67"/>
  <c r="B3" i="67"/>
  <c r="C15" i="43" l="1"/>
  <c r="D4" i="46"/>
  <c r="B4" i="46"/>
  <c r="E49" i="34"/>
  <c r="R50" i="34"/>
  <c r="G41" i="36"/>
  <c r="H41" i="36" s="1"/>
  <c r="G40" i="36"/>
  <c r="H40" i="36" s="1"/>
  <c r="G52" i="21"/>
  <c r="H52" i="21" s="1"/>
  <c r="G53" i="21"/>
  <c r="H53" i="21" s="1"/>
  <c r="I53" i="34"/>
  <c r="J53" i="34" s="1"/>
  <c r="I54" i="34"/>
  <c r="J54" i="34" s="1"/>
  <c r="K72" i="39"/>
  <c r="L70" i="39"/>
  <c r="I40" i="36"/>
  <c r="J40" i="36" s="1"/>
  <c r="S7" i="37"/>
  <c r="AA7" i="37"/>
  <c r="R42" i="37" s="1"/>
  <c r="F48" i="35"/>
  <c r="L67" i="40"/>
  <c r="M65" i="40"/>
  <c r="G47" i="37"/>
  <c r="H47" i="37" s="1"/>
  <c r="G46" i="37"/>
  <c r="H46" i="37" s="1"/>
  <c r="E36" i="36"/>
  <c r="R37" i="36"/>
  <c r="AA7" i="21"/>
  <c r="R48" i="21" s="1"/>
  <c r="S7" i="21"/>
  <c r="AC7" i="37"/>
  <c r="V42" i="37" s="1"/>
  <c r="I42" i="37" s="1"/>
  <c r="W7" i="37"/>
  <c r="I52" i="21"/>
  <c r="J52" i="21" s="1"/>
  <c r="F58" i="33"/>
  <c r="G58" i="33" s="1"/>
  <c r="H58" i="33" s="1"/>
  <c r="I58" i="33" s="1"/>
  <c r="J58" i="33" s="1"/>
  <c r="K58" i="33" s="1"/>
  <c r="L58" i="33" s="1"/>
  <c r="M58" i="33" s="1"/>
  <c r="N58" i="33" s="1"/>
  <c r="O58" i="33" s="1"/>
  <c r="F7" i="33"/>
  <c r="G54" i="34"/>
  <c r="H54" i="34" s="1"/>
  <c r="G53" i="34"/>
  <c r="H53" i="34" s="1"/>
  <c r="H5" i="3"/>
  <c r="G13" i="3"/>
  <c r="I4" i="6"/>
  <c r="K7" i="1"/>
  <c r="D9" i="12"/>
  <c r="D10" i="12" s="1"/>
  <c r="C6" i="12" s="1"/>
  <c r="BC5" i="3"/>
  <c r="BA13" i="3"/>
  <c r="K73" i="39"/>
  <c r="L73" i="39" s="1"/>
  <c r="M73" i="39" s="1"/>
  <c r="N73" i="39" s="1"/>
  <c r="J5" i="15"/>
  <c r="J24" i="15" s="1"/>
  <c r="F26" i="12"/>
  <c r="C27" i="12" s="1"/>
  <c r="D26" i="12" s="1"/>
  <c r="C32" i="12" s="1"/>
  <c r="D30" i="12" s="1"/>
  <c r="P6" i="1"/>
  <c r="C15" i="12" s="1"/>
  <c r="F26" i="44"/>
  <c r="C26" i="44" s="1"/>
  <c r="F20" i="43"/>
  <c r="D20" i="43" s="1"/>
  <c r="C52" i="15"/>
  <c r="C47" i="15" s="1"/>
  <c r="C10" i="15"/>
  <c r="C5" i="15" s="1"/>
  <c r="J28" i="44"/>
  <c r="J31" i="44" s="1"/>
  <c r="J26" i="44"/>
  <c r="C40" i="44"/>
  <c r="C20" i="11"/>
  <c r="C21" i="11" s="1"/>
  <c r="H7" i="33" l="1"/>
  <c r="E54" i="34"/>
  <c r="F54" i="34" s="1"/>
  <c r="E53" i="34"/>
  <c r="F53" i="34" s="1"/>
  <c r="AA7" i="33"/>
  <c r="R48" i="33" s="1"/>
  <c r="S7" i="33"/>
  <c r="C36" i="36"/>
  <c r="C37" i="36"/>
  <c r="B3" i="36" s="1"/>
  <c r="B2" i="36" s="1"/>
  <c r="I46" i="37"/>
  <c r="J46" i="37" s="1"/>
  <c r="R49" i="21"/>
  <c r="E48" i="21"/>
  <c r="E40" i="36"/>
  <c r="F40" i="36" s="1"/>
  <c r="E41" i="36"/>
  <c r="F41" i="36" s="1"/>
  <c r="N65" i="40"/>
  <c r="N67" i="40" s="1"/>
  <c r="M67" i="40"/>
  <c r="G48" i="35"/>
  <c r="E42" i="37"/>
  <c r="R43" i="37"/>
  <c r="I41" i="36"/>
  <c r="J41" i="36" s="1"/>
  <c r="M70" i="39"/>
  <c r="L72" i="39"/>
  <c r="C50" i="34"/>
  <c r="B3" i="34" s="1"/>
  <c r="B2" i="34" s="1"/>
  <c r="C49" i="34"/>
  <c r="J7" i="33"/>
  <c r="J26" i="15"/>
  <c r="J29" i="15" s="1"/>
  <c r="BA5" i="3"/>
  <c r="E27" i="6" s="1"/>
  <c r="AZ13" i="3"/>
  <c r="AZ5" i="3" s="1"/>
  <c r="E8" i="6"/>
  <c r="E12" i="6"/>
  <c r="E14" i="6"/>
  <c r="E10" i="6"/>
  <c r="E11" i="6"/>
  <c r="E15" i="6"/>
  <c r="E13" i="6"/>
  <c r="C24" i="12"/>
  <c r="C29" i="12"/>
  <c r="Q16" i="1"/>
  <c r="G16" i="1"/>
  <c r="K16" i="1"/>
  <c r="L22" i="1" s="1"/>
  <c r="AP16" i="1"/>
  <c r="F22" i="11" s="1"/>
  <c r="C22" i="11" s="1"/>
  <c r="C23" i="11" s="1"/>
  <c r="B2" i="11" s="1"/>
  <c r="H16" i="1"/>
  <c r="G5" i="3"/>
  <c r="B3" i="3" s="1"/>
  <c r="C65" i="15"/>
  <c r="C59" i="15"/>
  <c r="C38" i="15"/>
  <c r="Q67" i="44"/>
  <c r="Q58" i="44"/>
  <c r="Q49" i="44"/>
  <c r="Q55" i="44" s="1"/>
  <c r="E47" i="37" l="1"/>
  <c r="F47" i="37" s="1"/>
  <c r="E46" i="37"/>
  <c r="F46" i="37" s="1"/>
  <c r="H48" i="35"/>
  <c r="I48" i="35" s="1"/>
  <c r="J48" i="35" s="1"/>
  <c r="K48" i="35" s="1"/>
  <c r="L48" i="35" s="1"/>
  <c r="M48" i="35" s="1"/>
  <c r="N48" i="35" s="1"/>
  <c r="O48" i="35" s="1"/>
  <c r="H7" i="35"/>
  <c r="C49" i="21"/>
  <c r="B3" i="21" s="1"/>
  <c r="B2" i="21" s="1"/>
  <c r="C48" i="21"/>
  <c r="I47" i="37"/>
  <c r="J47" i="37" s="1"/>
  <c r="R49" i="33"/>
  <c r="E48" i="33"/>
  <c r="AC7" i="33"/>
  <c r="V48" i="33" s="1"/>
  <c r="I48" i="33" s="1"/>
  <c r="W7" i="33"/>
  <c r="N70" i="39"/>
  <c r="N72" i="39" s="1"/>
  <c r="M72" i="39"/>
  <c r="F9" i="39" s="1"/>
  <c r="C42" i="37"/>
  <c r="C43" i="37"/>
  <c r="B3" i="37" s="1"/>
  <c r="B2" i="37" s="1"/>
  <c r="F7" i="35"/>
  <c r="H9" i="40"/>
  <c r="E53" i="21"/>
  <c r="F53" i="21" s="1"/>
  <c r="E52" i="21"/>
  <c r="F52" i="21" s="1"/>
  <c r="I53" i="21"/>
  <c r="J53" i="21" s="1"/>
  <c r="F9" i="40"/>
  <c r="AB7" i="33"/>
  <c r="T48" i="33" s="1"/>
  <c r="G48" i="33" s="1"/>
  <c r="U7" i="33"/>
  <c r="J9" i="40"/>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288" i="3"/>
  <c r="E393" i="3"/>
  <c r="E88" i="3"/>
  <c r="E480" i="3"/>
  <c r="E220" i="3"/>
  <c r="E517"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337" i="3"/>
  <c r="E472" i="3"/>
  <c r="E537" i="3"/>
  <c r="E452" i="3"/>
  <c r="E536" i="3"/>
  <c r="E462" i="3"/>
  <c r="E545" i="3"/>
  <c r="E482" i="3"/>
  <c r="N6" i="3"/>
  <c r="E533" i="3"/>
  <c r="E37" i="3"/>
  <c r="E303" i="3"/>
  <c r="L6" i="3"/>
  <c r="E429" i="3"/>
  <c r="E116" i="3"/>
  <c r="E372" i="3"/>
  <c r="E465" i="3"/>
  <c r="E154" i="3"/>
  <c r="E243" i="3"/>
  <c r="E309" i="3"/>
  <c r="E416" i="3"/>
  <c r="E477" i="3"/>
  <c r="E96" i="3"/>
  <c r="E540" i="3"/>
  <c r="E160" i="3"/>
  <c r="E134" i="3"/>
  <c r="E242" i="3"/>
  <c r="AI6" i="3"/>
  <c r="E133" i="3"/>
  <c r="E239" i="3"/>
  <c r="E87" i="3"/>
  <c r="E234" i="3"/>
  <c r="E458" i="3"/>
  <c r="E128" i="3"/>
  <c r="E29" i="3"/>
  <c r="E176" i="3"/>
  <c r="E256" i="3"/>
  <c r="E554" i="3"/>
  <c r="E491" i="3"/>
  <c r="E525" i="3"/>
  <c r="E319" i="3"/>
  <c r="E456" i="3"/>
  <c r="E569" i="3"/>
  <c r="AJ6" i="3"/>
  <c r="E546" i="3"/>
  <c r="E15" i="3"/>
  <c r="E251" i="3"/>
  <c r="E56" i="3"/>
  <c r="E122" i="3"/>
  <c r="E208" i="3"/>
  <c r="E485" i="3"/>
  <c r="E483" i="3"/>
  <c r="E532" i="3"/>
  <c r="E340" i="3"/>
  <c r="E521" i="3"/>
  <c r="E130" i="3"/>
  <c r="E461" i="3"/>
  <c r="E328" i="3"/>
  <c r="E155" i="3"/>
  <c r="E346" i="3"/>
  <c r="E541" i="3"/>
  <c r="E557" i="3"/>
  <c r="E476" i="3"/>
  <c r="E192" i="3"/>
  <c r="E114" i="3"/>
  <c r="E348" i="3"/>
  <c r="E93" i="3"/>
  <c r="E394" i="3"/>
  <c r="E55" i="3"/>
  <c r="E282"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489"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70" i="3"/>
  <c r="E375" i="3"/>
  <c r="E409" i="3"/>
  <c r="E83" i="3"/>
  <c r="E124" i="3"/>
  <c r="E222" i="3"/>
  <c r="E388" i="3"/>
  <c r="E430" i="3"/>
  <c r="E146" i="3"/>
  <c r="E77" i="3"/>
  <c r="E434" i="3"/>
  <c r="E552" i="3"/>
  <c r="E57"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I6"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528" i="3"/>
  <c r="E470" i="3"/>
  <c r="E349" i="3"/>
  <c r="E186" i="3"/>
  <c r="E311" i="3"/>
  <c r="E263" i="3"/>
  <c r="E424" i="3"/>
  <c r="E82" i="3"/>
  <c r="E164" i="3"/>
  <c r="E99" i="3"/>
  <c r="E262" i="3"/>
  <c r="E101" i="3"/>
  <c r="E286" i="3"/>
  <c r="E183" i="3"/>
  <c r="E320" i="3"/>
  <c r="E45" i="3"/>
  <c r="E284" i="3"/>
  <c r="E42" i="3"/>
  <c r="E181" i="3"/>
  <c r="E269" i="3"/>
  <c r="E338" i="3"/>
  <c r="E562" i="3"/>
  <c r="E518" i="3"/>
  <c r="E167" i="3"/>
  <c r="E515" i="3"/>
  <c r="E494" i="3"/>
  <c r="E542" i="3"/>
  <c r="E254" i="3"/>
  <c r="E341" i="3"/>
  <c r="E316" i="3"/>
  <c r="E318" i="3"/>
  <c r="E380" i="3"/>
  <c r="E413" i="3"/>
  <c r="M6" i="3"/>
  <c r="E241" i="3"/>
  <c r="E69" i="3"/>
  <c r="E446" i="3"/>
  <c r="E152" i="3"/>
  <c r="E437" i="3"/>
  <c r="E46" i="3"/>
  <c r="E221" i="3"/>
  <c r="E457" i="3"/>
  <c r="E31" i="3"/>
  <c r="X6" i="3"/>
  <c r="AA6" i="3"/>
  <c r="AD6" i="3"/>
  <c r="E299" i="3"/>
  <c r="E327" i="3"/>
  <c r="E103" i="3"/>
  <c r="E200" i="3"/>
  <c r="E62" i="3"/>
  <c r="E389" i="3"/>
  <c r="E230" i="3"/>
  <c r="E143" i="3"/>
  <c r="E250" i="3"/>
  <c r="E471" i="3"/>
  <c r="E408" i="3"/>
  <c r="E238" i="3"/>
  <c r="E44" i="3"/>
  <c r="E36" i="3"/>
  <c r="E237" i="3"/>
  <c r="E428" i="3"/>
  <c r="E100" i="3"/>
  <c r="E374" i="3"/>
  <c r="E223" i="3"/>
  <c r="E205" i="3"/>
  <c r="E399" i="3"/>
  <c r="E478" i="3"/>
  <c r="E317" i="3"/>
  <c r="E357" i="3"/>
  <c r="E179" i="3"/>
  <c r="AS6" i="3"/>
  <c r="E444" i="3"/>
  <c r="E383" i="3"/>
  <c r="E561" i="3"/>
  <c r="E443" i="3"/>
  <c r="E194" i="3"/>
  <c r="E297" i="3"/>
  <c r="AN6" i="3"/>
  <c r="E59" i="3"/>
  <c r="E464" i="3"/>
  <c r="E209" i="3"/>
  <c r="E450" i="3"/>
  <c r="E149" i="3"/>
  <c r="E249" i="3"/>
  <c r="E549" i="3"/>
  <c r="E460" i="3"/>
  <c r="I3" i="6"/>
  <c r="E463" i="3"/>
  <c r="E292" i="3"/>
  <c r="E426" i="3"/>
  <c r="E60" i="3"/>
  <c r="E75" i="3"/>
  <c r="E178" i="3"/>
  <c r="J6" i="3"/>
  <c r="E48" i="3"/>
  <c r="E438" i="3"/>
  <c r="E455" i="3"/>
  <c r="E283" i="3"/>
  <c r="E156" i="3"/>
  <c r="E49" i="3"/>
  <c r="K6" i="3"/>
  <c r="J12" i="40"/>
  <c r="J12" i="39"/>
  <c r="H12" i="39"/>
  <c r="F12" i="39"/>
  <c r="H12" i="40"/>
  <c r="F12" i="40"/>
  <c r="E60" i="40"/>
  <c r="E65" i="39"/>
  <c r="E58" i="40"/>
  <c r="E63" i="39"/>
  <c r="E61" i="40"/>
  <c r="E66" i="39"/>
  <c r="E53" i="40"/>
  <c r="F27" i="6"/>
  <c r="F31" i="6" s="1"/>
  <c r="E58" i="39"/>
  <c r="E16" i="6"/>
  <c r="K24" i="6"/>
  <c r="M24" i="6" s="1"/>
  <c r="I24" i="6" s="1"/>
  <c r="S24" i="6" s="1"/>
  <c r="K23" i="6"/>
  <c r="M23" i="6" s="1"/>
  <c r="I23" i="6" s="1"/>
  <c r="S23" i="6" s="1"/>
  <c r="K22" i="6"/>
  <c r="M22" i="6" s="1"/>
  <c r="I22" i="6" s="1"/>
  <c r="S22" i="6" s="1"/>
  <c r="K25" i="6"/>
  <c r="M25" i="6" s="1"/>
  <c r="I25" i="6" s="1"/>
  <c r="S25" i="6" s="1"/>
  <c r="K19" i="6"/>
  <c r="K21" i="6"/>
  <c r="M21" i="6" s="1"/>
  <c r="I21" i="6" s="1"/>
  <c r="S21" i="6" s="1"/>
  <c r="E31" i="6"/>
  <c r="K26" i="6"/>
  <c r="M26" i="6" s="1"/>
  <c r="I26" i="6" s="1"/>
  <c r="S26" i="6" s="1"/>
  <c r="K20" i="6"/>
  <c r="E13" i="3"/>
  <c r="L23" i="1"/>
  <c r="N23" i="1" s="1"/>
  <c r="N22" i="1"/>
  <c r="L24" i="1"/>
  <c r="F33" i="12"/>
  <c r="C34" i="12" s="1"/>
  <c r="D33" i="12" s="1"/>
  <c r="Q22" i="1"/>
  <c r="F21" i="43"/>
  <c r="E62" i="40"/>
  <c r="E67" i="39"/>
  <c r="E59" i="40"/>
  <c r="E64" i="39"/>
  <c r="E3" i="6"/>
  <c r="B3" i="11" s="1"/>
  <c r="AY6" i="3"/>
  <c r="AC6" i="3" l="1"/>
  <c r="AA9" i="39"/>
  <c r="S9" i="39"/>
  <c r="AA9" i="40"/>
  <c r="R44" i="40" s="1"/>
  <c r="S9" i="40"/>
  <c r="AC9" i="40"/>
  <c r="V44" i="40" s="1"/>
  <c r="I44" i="40" s="1"/>
  <c r="W9" i="40"/>
  <c r="G53" i="33"/>
  <c r="H53" i="33" s="1"/>
  <c r="G52" i="33"/>
  <c r="H52" i="33" s="1"/>
  <c r="AA7" i="35"/>
  <c r="R38" i="35" s="1"/>
  <c r="S7" i="35"/>
  <c r="I52" i="33"/>
  <c r="J52" i="33" s="1"/>
  <c r="I53" i="33"/>
  <c r="J53" i="33" s="1"/>
  <c r="E53" i="33"/>
  <c r="F53" i="33" s="1"/>
  <c r="E52" i="33"/>
  <c r="F52" i="33" s="1"/>
  <c r="J7" i="35"/>
  <c r="J9" i="39"/>
  <c r="U9" i="40"/>
  <c r="AB9" i="40"/>
  <c r="T44" i="40" s="1"/>
  <c r="G44" i="40" s="1"/>
  <c r="H9" i="39"/>
  <c r="C49" i="33"/>
  <c r="B3" i="33" s="1"/>
  <c r="B2" i="33" s="1"/>
  <c r="C48" i="33"/>
  <c r="AB7" i="35"/>
  <c r="T38" i="35" s="1"/>
  <c r="G38" i="35" s="1"/>
  <c r="U7" i="35"/>
  <c r="AA12" i="40"/>
  <c r="S12" i="40"/>
  <c r="AA12" i="39"/>
  <c r="S12" i="39"/>
  <c r="AC12" i="39"/>
  <c r="W12" i="39"/>
  <c r="H6" i="3"/>
  <c r="E6" i="3" s="1"/>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6" i="3"/>
  <c r="AY217" i="3"/>
  <c r="AY214" i="3"/>
  <c r="AY548" i="3"/>
  <c r="AY279" i="3"/>
  <c r="AY124" i="3"/>
  <c r="AY271" i="3"/>
  <c r="AY229" i="3"/>
  <c r="AY75" i="3"/>
  <c r="AY316" i="3"/>
  <c r="AY245" i="3"/>
  <c r="AY456" i="3"/>
  <c r="AY112" i="3"/>
  <c r="AY247" i="3"/>
  <c r="AY20" i="3"/>
  <c r="AY78" i="3"/>
  <c r="AY153" i="3"/>
  <c r="AY375" i="3"/>
  <c r="AY559" i="3"/>
  <c r="AY506" i="3"/>
  <c r="AY240" i="3"/>
  <c r="AY475" i="3"/>
  <c r="AY281" i="3"/>
  <c r="AY395" i="3"/>
  <c r="AY393" i="3"/>
  <c r="AY490" i="3"/>
  <c r="AY297" i="3"/>
  <c r="AY377" i="3"/>
  <c r="AY252" i="3"/>
  <c r="AY260" i="3"/>
  <c r="AY228" i="3"/>
  <c r="AY566" i="3"/>
  <c r="AY568" i="3"/>
  <c r="AY54" i="3"/>
  <c r="AY312" i="3"/>
  <c r="AY134" i="3"/>
  <c r="BG6" i="3"/>
  <c r="AY165" i="3"/>
  <c r="AY255" i="3"/>
  <c r="AY354" i="3"/>
  <c r="AY121" i="3"/>
  <c r="AY529" i="3"/>
  <c r="AY476" i="3"/>
  <c r="AY438" i="3"/>
  <c r="AY200" i="3"/>
  <c r="AY368" i="3"/>
  <c r="AY531" i="3"/>
  <c r="AY244" i="3"/>
  <c r="AY199" i="3"/>
  <c r="AY351" i="3"/>
  <c r="AY63" i="3"/>
  <c r="AY440" i="3"/>
  <c r="AY495" i="3"/>
  <c r="AY339" i="3"/>
  <c r="AY213" i="3"/>
  <c r="AY314" i="3"/>
  <c r="AY485" i="3"/>
  <c r="AY174" i="3"/>
  <c r="AY71" i="3"/>
  <c r="AY363"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D3" i="6"/>
  <c r="AY37" i="3"/>
  <c r="AY203" i="3"/>
  <c r="AY95" i="3"/>
  <c r="AY83" i="3"/>
  <c r="AY45" i="3"/>
  <c r="AY277" i="3"/>
  <c r="AY384" i="3"/>
  <c r="AY425" i="3"/>
  <c r="AY202" i="3"/>
  <c r="AY286" i="3"/>
  <c r="AY398" i="3"/>
  <c r="AY169" i="3"/>
  <c r="AY348" i="3"/>
  <c r="AY72" i="3"/>
  <c r="AY241" i="3"/>
  <c r="AY30" i="3"/>
  <c r="AY542" i="3"/>
  <c r="AY382" i="3"/>
  <c r="AY555" i="3"/>
  <c r="AY143" i="3"/>
  <c r="AY308" i="3"/>
  <c r="AY236" i="3"/>
  <c r="AY52" i="3"/>
  <c r="AY109" i="3"/>
  <c r="AY537" i="3"/>
  <c r="AY136" i="3"/>
  <c r="AY448" i="3"/>
  <c r="AY381" i="3"/>
  <c r="AY178" i="3"/>
  <c r="AY550" i="3"/>
  <c r="AY389" i="3"/>
  <c r="AY122" i="3"/>
  <c r="BC6" i="3"/>
  <c r="AY91" i="3"/>
  <c r="AY274" i="3"/>
  <c r="AY114" i="3"/>
  <c r="AY558" i="3"/>
  <c r="AY156" i="3"/>
  <c r="AY27" i="3"/>
  <c r="AY160" i="3"/>
  <c r="AY96" i="3"/>
  <c r="AY206" i="3"/>
  <c r="AY225" i="3"/>
  <c r="AY360" i="3"/>
  <c r="AY292" i="3"/>
  <c r="AY180" i="3"/>
  <c r="AY167" i="3"/>
  <c r="AY551" i="3"/>
  <c r="AY33" i="3"/>
  <c r="AY522" i="3"/>
  <c r="AY173" i="3"/>
  <c r="AY23" i="3"/>
  <c r="AY215" i="3"/>
  <c r="AY507" i="3"/>
  <c r="AY499" i="3"/>
  <c r="AY514" i="3"/>
  <c r="AY298" i="3"/>
  <c r="AY421" i="3"/>
  <c r="AY313" i="3"/>
  <c r="AY56" i="3"/>
  <c r="AY387" i="3"/>
  <c r="AY113" i="3"/>
  <c r="AY276" i="3"/>
  <c r="AY133" i="3"/>
  <c r="AY68" i="3"/>
  <c r="AY17" i="3"/>
  <c r="AY484" i="3"/>
  <c r="AY390" i="3"/>
  <c r="BF6" i="3"/>
  <c r="AY325" i="3"/>
  <c r="AY519" i="3"/>
  <c r="AY527" i="3"/>
  <c r="AY552" i="3"/>
  <c r="AY498" i="3"/>
  <c r="AY319" i="3"/>
  <c r="AY365" i="3"/>
  <c r="AY207" i="3"/>
  <c r="AY224" i="3"/>
  <c r="AY386" i="3"/>
  <c r="AY253" i="3"/>
  <c r="AY295" i="3"/>
  <c r="AY258" i="3"/>
  <c r="AY422" i="3"/>
  <c r="AY74" i="3"/>
  <c r="AY549"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246" i="3"/>
  <c r="AY408" i="3"/>
  <c r="AY374" i="3"/>
  <c r="AY183" i="3"/>
  <c r="AY25" i="3"/>
  <c r="AY197" i="3"/>
  <c r="AY321" i="3"/>
  <c r="BH6" i="3"/>
  <c r="AY431" i="3"/>
  <c r="AY526" i="3"/>
  <c r="AY34" i="3"/>
  <c r="AY309" i="3"/>
  <c r="AY176" i="3"/>
  <c r="AY44" i="3"/>
  <c r="AY318" i="3"/>
  <c r="AY561" i="3"/>
  <c r="AY22" i="3"/>
  <c r="AY406" i="3"/>
  <c r="BI6" i="3"/>
  <c r="AY150" i="3"/>
  <c r="AY432" i="3"/>
  <c r="AY280" i="3"/>
  <c r="AY172" i="3"/>
  <c r="BS6" i="3"/>
  <c r="AY394" i="3"/>
  <c r="AY282" i="3"/>
  <c r="AY544" i="3"/>
  <c r="AY24" i="3"/>
  <c r="AY494" i="3"/>
  <c r="AY515" i="3"/>
  <c r="AY290" i="3"/>
  <c r="AY46" i="3"/>
  <c r="AY569" i="3"/>
  <c r="AY371" i="3"/>
  <c r="AY283" i="3"/>
  <c r="AY380" i="3"/>
  <c r="AY396" i="3"/>
  <c r="AY21" i="3"/>
  <c r="AY367" i="3"/>
  <c r="AY399" i="3"/>
  <c r="AY328" i="3"/>
  <c r="AY195" i="3"/>
  <c r="AY547" i="3"/>
  <c r="AY571" i="3"/>
  <c r="AY532" i="3"/>
  <c r="AY251" i="3"/>
  <c r="AY284" i="3"/>
  <c r="AY426" i="3"/>
  <c r="AY496" i="3"/>
  <c r="AY491" i="3"/>
  <c r="AY98" i="3"/>
  <c r="AY366" i="3"/>
  <c r="AY352" i="3"/>
  <c r="AY85" i="3"/>
  <c r="AY471" i="3"/>
  <c r="AY137" i="3"/>
  <c r="BP6" i="3"/>
  <c r="AY480" i="3"/>
  <c r="AY358" i="3"/>
  <c r="AY223" i="3"/>
  <c r="AY235" i="3"/>
  <c r="AY267" i="3"/>
  <c r="AY433" i="3"/>
  <c r="AY502" i="3"/>
  <c r="AY509" i="3"/>
  <c r="AY564" i="3"/>
  <c r="AY296" i="3"/>
  <c r="AY79" i="3"/>
  <c r="AY373" i="3"/>
  <c r="AY474" i="3"/>
  <c r="AY530" i="3"/>
  <c r="AY198" i="3"/>
  <c r="AY73" i="3"/>
  <c r="AY262" i="3"/>
  <c r="AY397" i="3"/>
  <c r="AY379" i="3"/>
  <c r="AY135" i="3"/>
  <c r="AY62" i="3"/>
  <c r="AY155" i="3"/>
  <c r="AY307" i="3"/>
  <c r="AY201" i="3"/>
  <c r="AY449" i="3"/>
  <c r="AY275" i="3"/>
  <c r="AY304" i="3"/>
  <c r="AY120" i="3"/>
  <c r="AY14" i="3"/>
  <c r="BN6" i="3"/>
  <c r="AY145" i="3"/>
  <c r="AY233" i="3"/>
  <c r="AY520" i="3"/>
  <c r="AY184" i="3"/>
  <c r="AY370" i="3"/>
  <c r="AY535" i="3"/>
  <c r="BJ6" i="3"/>
  <c r="AY511" i="3"/>
  <c r="AY51" i="3"/>
  <c r="AY332" i="3"/>
  <c r="AY89" i="3"/>
  <c r="AY119" i="3"/>
  <c r="AY345" i="3"/>
  <c r="AY513" i="3"/>
  <c r="AY300" i="3"/>
  <c r="AY524" i="3"/>
  <c r="AY177" i="3"/>
  <c r="AY164" i="3"/>
  <c r="AY331" i="3"/>
  <c r="AY130" i="3"/>
  <c r="AY289" i="3"/>
  <c r="AY418" i="3"/>
  <c r="AY557" i="3"/>
  <c r="AY538" i="3"/>
  <c r="AY327" i="3"/>
  <c r="AY285" i="3"/>
  <c r="BR6" i="3"/>
  <c r="AY355" i="3"/>
  <c r="AY492" i="3"/>
  <c r="AY163" i="3"/>
  <c r="AY417" i="3"/>
  <c r="AY546" i="3"/>
  <c r="AY152" i="3"/>
  <c r="AY107" i="3"/>
  <c r="AY239" i="3"/>
  <c r="AY323" i="3"/>
  <c r="AY138" i="3"/>
  <c r="AY154" i="3"/>
  <c r="AY369" i="3"/>
  <c r="AY187" i="3"/>
  <c r="AY35" i="3"/>
  <c r="AY194" i="3"/>
  <c r="AY315" i="3"/>
  <c r="AY146" i="3"/>
  <c r="AY106" i="3"/>
  <c r="AY88"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N24" i="1"/>
  <c r="M25" i="1" s="1"/>
  <c r="M7" i="1" s="1"/>
  <c r="M20" i="6"/>
  <c r="I20" i="6" s="1"/>
  <c r="S20" i="6" s="1"/>
  <c r="S7" i="1"/>
  <c r="S6" i="1"/>
  <c r="M19" i="6"/>
  <c r="K27" i="6"/>
  <c r="E68" i="39"/>
  <c r="U12" i="40"/>
  <c r="AB12" i="40"/>
  <c r="U12" i="39"/>
  <c r="AB12" i="39"/>
  <c r="AC12" i="40"/>
  <c r="W12" i="40"/>
  <c r="L38" i="9"/>
  <c r="B14" i="66" s="1"/>
  <c r="B1" i="66" s="1"/>
  <c r="D44" i="9"/>
  <c r="D46" i="9"/>
  <c r="D16" i="43"/>
  <c r="C16" i="43" s="1"/>
  <c r="D45" i="9"/>
  <c r="C21" i="4"/>
  <c r="O5" i="54" s="1"/>
  <c r="B45" i="63" s="1"/>
  <c r="D16" i="12"/>
  <c r="E6" i="6"/>
  <c r="G42" i="35" l="1"/>
  <c r="H42" i="35" s="1"/>
  <c r="G48" i="40"/>
  <c r="H48" i="40" s="1"/>
  <c r="G49" i="40"/>
  <c r="H49" i="40" s="1"/>
  <c r="AC9" i="39"/>
  <c r="W9" i="39"/>
  <c r="U9" i="39"/>
  <c r="AB9" i="39"/>
  <c r="AC7" i="35"/>
  <c r="V38" i="35" s="1"/>
  <c r="I38" i="35" s="1"/>
  <c r="G43" i="35" s="1"/>
  <c r="H43" i="35" s="1"/>
  <c r="W7" i="35"/>
  <c r="E38" i="35"/>
  <c r="R39" i="35"/>
  <c r="I48" i="40"/>
  <c r="J48" i="40" s="1"/>
  <c r="R45" i="40"/>
  <c r="E44" i="40"/>
  <c r="C16" i="12"/>
  <c r="D19" i="12"/>
  <c r="C19" i="12" s="1"/>
  <c r="C7" i="66"/>
  <c r="C6" i="66"/>
  <c r="C8" i="66"/>
  <c r="O7" i="1"/>
  <c r="M16" i="1"/>
  <c r="C40" i="39"/>
  <c r="H20" i="6"/>
  <c r="D20" i="6"/>
  <c r="D22" i="6"/>
  <c r="E63" i="40"/>
  <c r="D11" i="6"/>
  <c r="E45" i="9"/>
  <c r="D21" i="6"/>
  <c r="E44" i="9"/>
  <c r="D25" i="6"/>
  <c r="F46" i="9"/>
  <c r="D26" i="6"/>
  <c r="D10" i="6"/>
  <c r="D12" i="6"/>
  <c r="H23" i="6"/>
  <c r="E46" i="9"/>
  <c r="D28" i="6"/>
  <c r="C22" i="4"/>
  <c r="D9" i="6"/>
  <c r="D8" i="6"/>
  <c r="D15" i="6"/>
  <c r="K38" i="9"/>
  <c r="C14" i="66" s="1"/>
  <c r="B2" i="66" s="1"/>
  <c r="D14" i="6"/>
  <c r="D13" i="6"/>
  <c r="D29" i="6"/>
  <c r="D5" i="6"/>
  <c r="H26" i="6"/>
  <c r="F44" i="9"/>
  <c r="H22" i="6"/>
  <c r="H24" i="6"/>
  <c r="H21" i="6"/>
  <c r="H25" i="6"/>
  <c r="D23" i="6"/>
  <c r="R23" i="6" s="1"/>
  <c r="F45" i="9"/>
  <c r="D24" i="6"/>
  <c r="D19" i="6"/>
  <c r="D6" i="6"/>
  <c r="B5" i="11"/>
  <c r="B4" i="11"/>
  <c r="S16" i="1"/>
  <c r="T6" i="1" s="1"/>
  <c r="D22" i="12"/>
  <c r="C22" i="12" s="1"/>
  <c r="C20" i="12" s="1"/>
  <c r="D13" i="11"/>
  <c r="C13" i="11" s="1"/>
  <c r="M27" i="6"/>
  <c r="I19" i="6"/>
  <c r="H19" i="6" s="1"/>
  <c r="C45" i="40" l="1"/>
  <c r="C44" i="40"/>
  <c r="E43" i="35"/>
  <c r="F43" i="35" s="1"/>
  <c r="E42" i="35"/>
  <c r="F42" i="35" s="1"/>
  <c r="F63" i="40"/>
  <c r="B2" i="40" s="1"/>
  <c r="B5" i="40" s="1"/>
  <c r="E48" i="40"/>
  <c r="F48" i="40" s="1"/>
  <c r="E49" i="40"/>
  <c r="F49" i="40" s="1"/>
  <c r="I49" i="40"/>
  <c r="J49" i="40" s="1"/>
  <c r="C39" i="35"/>
  <c r="B3" i="35" s="1"/>
  <c r="B2" i="35" s="1"/>
  <c r="C38" i="35"/>
  <c r="I43" i="35"/>
  <c r="J43" i="35" s="1"/>
  <c r="I42" i="35"/>
  <c r="J42" i="35" s="1"/>
  <c r="R20" i="6"/>
  <c r="R7" i="1" s="1"/>
  <c r="R24" i="6"/>
  <c r="I27" i="6"/>
  <c r="S19" i="6"/>
  <c r="S27" i="6" s="1"/>
  <c r="T9" i="1"/>
  <c r="T8" i="1"/>
  <c r="T12" i="1"/>
  <c r="T11" i="1"/>
  <c r="T10" i="1"/>
  <c r="T13" i="1"/>
  <c r="R19" i="6"/>
  <c r="D27" i="6"/>
  <c r="D8" i="66"/>
  <c r="D6" i="66"/>
  <c r="D7" i="66"/>
  <c r="D16" i="6"/>
  <c r="A6" i="64"/>
  <c r="A20" i="64"/>
  <c r="A20" i="51"/>
  <c r="B15" i="63" s="1"/>
  <c r="N5" i="54"/>
  <c r="B43" i="63" s="1"/>
  <c r="A6" i="51"/>
  <c r="B7" i="63" s="1"/>
  <c r="R26" i="6"/>
  <c r="R25" i="6"/>
  <c r="R21" i="6"/>
  <c r="R22" i="6"/>
  <c r="N16" i="1"/>
  <c r="F22" i="43" s="1"/>
  <c r="C13" i="43"/>
  <c r="L16" i="1"/>
  <c r="T7" i="1"/>
  <c r="H27" i="6"/>
  <c r="D30" i="6"/>
  <c r="F40" i="39"/>
  <c r="J40" i="39"/>
  <c r="H40" i="39"/>
  <c r="P7" i="1"/>
  <c r="P16" i="1" s="1"/>
  <c r="C13" i="12" s="1"/>
  <c r="O16" i="1"/>
  <c r="C16" i="44"/>
  <c r="C14" i="15"/>
  <c r="T16" i="1" l="1"/>
  <c r="B3" i="40"/>
  <c r="B4" i="40"/>
  <c r="B59" i="40"/>
  <c r="F59" i="40" s="1"/>
  <c r="B58" i="40"/>
  <c r="F58" i="40" s="1"/>
  <c r="B56" i="40"/>
  <c r="F56" i="40" s="1"/>
  <c r="B53" i="40"/>
  <c r="F53" i="40" s="1"/>
  <c r="B54" i="40"/>
  <c r="F54" i="40" s="1"/>
  <c r="B62" i="40"/>
  <c r="F62" i="40" s="1"/>
  <c r="B61" i="40"/>
  <c r="F61" i="40" s="1"/>
  <c r="B55" i="40"/>
  <c r="F55" i="40" s="1"/>
  <c r="B60" i="40"/>
  <c r="F60" i="40" s="1"/>
  <c r="B57" i="40"/>
  <c r="F57" i="40" s="1"/>
  <c r="C17" i="44"/>
  <c r="C20" i="44"/>
  <c r="C15" i="15"/>
  <c r="C18" i="15"/>
  <c r="AB40" i="39"/>
  <c r="U40" i="39"/>
  <c r="AA40" i="39"/>
  <c r="S40" i="39"/>
  <c r="C14" i="43"/>
  <c r="C17" i="43"/>
  <c r="R6" i="1"/>
  <c r="R16" i="1" s="1"/>
  <c r="R27" i="6"/>
  <c r="C17" i="12"/>
  <c r="C14" i="12"/>
  <c r="AC40" i="39"/>
  <c r="W40" i="39"/>
  <c r="D31" i="6"/>
  <c r="C18" i="12" l="1"/>
  <c r="C23" i="12" s="1"/>
  <c r="C35" i="12" s="1"/>
  <c r="C33" i="12" s="1"/>
  <c r="C21" i="44"/>
  <c r="C22" i="44" s="1"/>
  <c r="C28" i="44" s="1"/>
  <c r="C18" i="43"/>
  <c r="C19" i="43" s="1"/>
  <c r="C21" i="43" s="1"/>
  <c r="C19" i="15"/>
  <c r="C20" i="15" s="1"/>
  <c r="C26" i="15" s="1"/>
  <c r="I6" i="6"/>
  <c r="C13" i="39" s="1"/>
  <c r="I5" i="6"/>
  <c r="C25" i="44" l="1"/>
  <c r="C31" i="44" s="1"/>
  <c r="Q51" i="44" s="1"/>
  <c r="C20" i="43"/>
  <c r="C23" i="43" s="1"/>
  <c r="C27" i="43" s="1"/>
  <c r="B2" i="43" s="1"/>
  <c r="B5" i="43" s="1"/>
  <c r="C28" i="12"/>
  <c r="C26" i="12" s="1"/>
  <c r="C31" i="12" s="1"/>
  <c r="C30" i="12" s="1"/>
  <c r="C36" i="12" s="1"/>
  <c r="B2" i="12" s="1"/>
  <c r="B3" i="12" s="1"/>
  <c r="C23" i="15"/>
  <c r="C29" i="15" s="1"/>
  <c r="J14" i="15" s="1"/>
  <c r="B3" i="43"/>
  <c r="Q50" i="15"/>
  <c r="C36" i="15"/>
  <c r="J59" i="15"/>
  <c r="J60" i="15" s="1"/>
  <c r="C56" i="15"/>
  <c r="H13" i="39"/>
  <c r="F13" i="39"/>
  <c r="J13" i="39"/>
  <c r="D20" i="9"/>
  <c r="D19" i="9"/>
  <c r="C33" i="15" l="1"/>
  <c r="C31" i="15" s="1"/>
  <c r="C13" i="15"/>
  <c r="C55" i="15" s="1"/>
  <c r="C64" i="15" s="1"/>
  <c r="J19" i="15"/>
  <c r="J17" i="15" s="1"/>
  <c r="B4" i="43"/>
  <c r="C35" i="44"/>
  <c r="C33" i="44" s="1"/>
  <c r="C38" i="44"/>
  <c r="J16" i="44"/>
  <c r="J24" i="44" s="1"/>
  <c r="L44" i="9"/>
  <c r="B5" i="12"/>
  <c r="B4" i="12"/>
  <c r="C15" i="44"/>
  <c r="Q72" i="44" s="1"/>
  <c r="J21" i="44"/>
  <c r="J19" i="44" s="1"/>
  <c r="AA13" i="39"/>
  <c r="R49" i="39" s="1"/>
  <c r="S13" i="39"/>
  <c r="J35" i="15"/>
  <c r="Q71" i="15"/>
  <c r="AC13" i="39"/>
  <c r="V49" i="39" s="1"/>
  <c r="I49" i="39" s="1"/>
  <c r="W13" i="39"/>
  <c r="AB13" i="39"/>
  <c r="T49" i="39" s="1"/>
  <c r="G49" i="39" s="1"/>
  <c r="U13" i="39"/>
  <c r="C63" i="15"/>
  <c r="C60" i="15"/>
  <c r="C58" i="15" s="1"/>
  <c r="Q49" i="15"/>
  <c r="L46" i="15"/>
  <c r="J15" i="44"/>
  <c r="J25" i="44" s="1"/>
  <c r="J22" i="15"/>
  <c r="J13" i="15"/>
  <c r="J23" i="15" s="1"/>
  <c r="D21" i="9"/>
  <c r="C37" i="15" l="1"/>
  <c r="C30" i="15" s="1"/>
  <c r="C39" i="15" s="1"/>
  <c r="C40" i="15" s="1"/>
  <c r="C39" i="44"/>
  <c r="C43" i="44"/>
  <c r="C32" i="44"/>
  <c r="C42" i="44" s="1"/>
  <c r="Q71" i="44" s="1"/>
  <c r="Q70" i="44" s="1"/>
  <c r="J16" i="15"/>
  <c r="J25" i="15" s="1"/>
  <c r="J18" i="44"/>
  <c r="J27" i="44" s="1"/>
  <c r="C57" i="15"/>
  <c r="C66" i="15" s="1"/>
  <c r="C67" i="15" s="1"/>
  <c r="C70" i="15" s="1"/>
  <c r="G53" i="39"/>
  <c r="H53" i="39" s="1"/>
  <c r="G54" i="39"/>
  <c r="H54" i="39" s="1"/>
  <c r="I53" i="39"/>
  <c r="J53" i="39" s="1"/>
  <c r="E49" i="39"/>
  <c r="I54" i="39" s="1"/>
  <c r="J54" i="39" s="1"/>
  <c r="R50" i="39"/>
  <c r="L51" i="15"/>
  <c r="C44" i="44" l="1"/>
  <c r="C45" i="44" s="1"/>
  <c r="B2" i="44" s="1"/>
  <c r="L57" i="15"/>
  <c r="L60" i="15" s="1"/>
  <c r="Q67" i="15" s="1"/>
  <c r="Q68" i="15"/>
  <c r="J39" i="15"/>
  <c r="J40" i="15" s="1"/>
  <c r="Q70" i="15"/>
  <c r="Q69" i="15" s="1"/>
  <c r="C46" i="15"/>
  <c r="C50" i="39"/>
  <c r="C49" i="39"/>
  <c r="E53" i="39"/>
  <c r="F53" i="39" s="1"/>
  <c r="E54" i="39"/>
  <c r="F54" i="39" s="1"/>
  <c r="Q48" i="15"/>
  <c r="Q54" i="15" s="1"/>
  <c r="Q57" i="15"/>
  <c r="C43" i="15"/>
  <c r="Q66" i="15"/>
  <c r="B2" i="15"/>
  <c r="B3" i="15" s="1"/>
  <c r="J42" i="15"/>
  <c r="J43" i="15" s="1"/>
  <c r="L52" i="44"/>
  <c r="Q58" i="15" l="1"/>
  <c r="Q63" i="15" s="1"/>
  <c r="Q76" i="15"/>
  <c r="B66" i="39"/>
  <c r="F66" i="39" s="1"/>
  <c r="B64" i="39"/>
  <c r="F64" i="39" s="1"/>
  <c r="B63" i="39"/>
  <c r="F63" i="39" s="1"/>
  <c r="B60" i="39"/>
  <c r="F60" i="39" s="1"/>
  <c r="B67" i="39"/>
  <c r="F67" i="39" s="1"/>
  <c r="B62" i="39"/>
  <c r="F62" i="39" s="1"/>
  <c r="B58" i="39"/>
  <c r="F58" i="39" s="1"/>
  <c r="B61" i="39"/>
  <c r="F61" i="39" s="1"/>
  <c r="B59" i="39"/>
  <c r="F59" i="39" s="1"/>
  <c r="B65" i="39"/>
  <c r="F65" i="39" s="1"/>
  <c r="B4" i="44"/>
  <c r="B3" i="44"/>
  <c r="B5" i="44"/>
  <c r="Q69" i="44"/>
  <c r="L58" i="44"/>
  <c r="L61" i="44" s="1"/>
  <c r="F68" i="39" l="1"/>
  <c r="B2" i="39" s="1"/>
  <c r="B4" i="39" s="1"/>
  <c r="Q59" i="44"/>
  <c r="Q64" i="44" s="1"/>
  <c r="Q68" i="44"/>
  <c r="Q77" i="44" s="1"/>
  <c r="C21" i="9"/>
  <c r="C19" i="9"/>
  <c r="B3" i="39" l="1"/>
  <c r="L43" i="9"/>
  <c r="G19" i="9"/>
  <c r="G22" i="9" s="1"/>
  <c r="D22" i="9"/>
  <c r="B5" i="39"/>
  <c r="G21" i="9"/>
  <c r="C20" i="9"/>
  <c r="N43" i="9" l="1"/>
  <c r="G20" i="9"/>
  <c r="C32" i="9"/>
  <c r="O38" i="9" s="1"/>
  <c r="C42" i="9" l="1"/>
  <c r="D63" i="9" s="1"/>
  <c r="C35" i="9"/>
  <c r="F42" i="9" s="1"/>
  <c r="O43" i="9"/>
  <c r="C33" i="9"/>
  <c r="D42" i="9" s="1"/>
  <c r="Q5" i="54" s="1"/>
  <c r="B47" i="63" s="1"/>
  <c r="C34" i="9"/>
  <c r="E42" i="9" s="1"/>
  <c r="P5" i="54" s="1"/>
  <c r="B46" i="63" s="1"/>
  <c r="K25" i="9"/>
  <c r="K26" i="9"/>
  <c r="R5" i="54" l="1"/>
  <c r="B48" i="63" s="1"/>
  <c r="D14" i="66"/>
  <c r="E14" i="66" s="1"/>
  <c r="N68" i="9"/>
  <c r="N38" i="9"/>
  <c r="K28" i="9" s="1"/>
  <c r="M38" i="9"/>
  <c r="K27" i="9" s="1"/>
  <c r="B5" i="66"/>
  <c r="C111" i="9"/>
  <c r="C104" i="9" s="1"/>
  <c r="D71" i="9"/>
  <c r="D73" i="9"/>
  <c r="N73" i="9" s="1"/>
  <c r="D70" i="9"/>
  <c r="C82" i="9"/>
  <c r="C81" i="9" s="1"/>
  <c r="C85" i="9" s="1"/>
  <c r="C86" i="9" s="1"/>
  <c r="D72" i="9" s="1"/>
  <c r="C103" i="9"/>
  <c r="C96" i="9"/>
  <c r="C91" i="9" s="1"/>
  <c r="C90" i="9"/>
  <c r="F14" i="66" l="1"/>
  <c r="C113" i="9"/>
  <c r="C114" i="9" s="1"/>
  <c r="E114" i="9" s="1"/>
  <c r="E115" i="9" s="1"/>
  <c r="C97" i="9"/>
  <c r="C98" i="9" s="1"/>
  <c r="E98" i="9" s="1"/>
  <c r="E99" i="9" s="1"/>
  <c r="C5" i="66"/>
  <c r="D5" i="66"/>
  <c r="C99" i="9" l="1"/>
  <c r="C115" i="9"/>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<sst xmlns="http://schemas.openxmlformats.org/spreadsheetml/2006/main" count="10934" uniqueCount="3496">
  <si>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</si>
  <si>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</si>
  <si>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</si>
  <si>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</si>
  <si>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</si>
  <si>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</si>
  <si>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</si>
  <si>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</si>
  <si>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</si>
  <si>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</si>
  <si>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</si>
  <si>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</si>
  <si>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</si>
  <si>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</si>
  <si>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</si>
  <si>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</si>
  <si>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</si>
  <si>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</si>
  <si>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</si>
  <si>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</si>
  <si>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</si>
  <si>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</si>
  <si>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</si>
  <si>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</si>
  <si>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</si>
  <si>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</si>
  <si>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</si>
  <si>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</si>
  <si>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</si>
  <si>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</si>
  <si>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</si>
  <si>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</si>
  <si>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</si>
  <si>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</si>
  <si>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</si>
  <si>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</si>
  <si>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</si>
  <si>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</si>
  <si>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</si>
  <si>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</si>
  <si>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</si>
  <si>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</si>
  <si>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</si>
  <si>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</si>
  <si>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</si>
  <si>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</si>
  <si>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</si>
  <si>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</si>
  <si>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</si>
  <si>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</si>
  <si>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</si>
  <si>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</si>
  <si>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</si>
  <si>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</si>
  <si>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</si>
  <si>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</si>
  <si>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</si>
  <si>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</si>
  <si>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</si>
  <si>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</si>
  <si>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</si>
  <si>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</si>
  <si>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</si>
  <si>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</si>
  <si>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</si>
  <si>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</si>
  <si>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</si>
  <si>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</si>
  <si>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</si>
  <si>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</si>
  <si>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</si>
  <si>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</si>
  <si>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</si>
  <si>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</si>
  <si>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</si>
  <si>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</si>
  <si>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</si>
  <si>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</si>
  <si>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</si>
  <si>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</si>
  <si>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</si>
  <si>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</si>
  <si>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</si>
  <si>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</si>
  <si>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</si>
  <si>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</si>
  <si>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</si>
  <si>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</si>
  <si>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</si>
  <si>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</si>
  <si>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</si>
  <si>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</si>
  <si>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</si>
  <si>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</si>
  <si>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</si>
  <si>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</si>
  <si>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</si>
  <si>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</si>
  <si>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</si>
  <si>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</si>
  <si>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</si>
  <si>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</si>
  <si>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</si>
  <si>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</si>
  <si>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</si>
  <si>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</si>
  <si>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</si>
  <si>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</si>
  <si>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</si>
  <si>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</si>
  <si>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</si>
  <si>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</si>
  <si>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</si>
  <si>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</si>
  <si>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</si>
  <si>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</si>
  <si>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</si>
  <si>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</si>
  <si>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</si>
  <si>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</si>
  <si>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</si>
  <si>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</si>
  <si>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</si>
  <si>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</si>
  <si>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</si>
  <si>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</si>
  <si>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</si>
  <si>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</si>
  <si>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</si>
  <si>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</si>
  <si>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</si>
  <si>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</si>
  <si>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</si>
  <si>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</si>
  <si>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</si>
  <si>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</si>
  <si>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</si>
  <si>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</si>
  <si>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</si>
  <si>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</si>
  <si>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</si>
  <si>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</si>
  <si>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</si>
  <si>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</si>
  <si>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</si>
  <si>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</si>
  <si>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</si>
  <si>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</si>
  <si>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</si>
  <si>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</si>
  <si>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</si>
  <si>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</si>
  <si>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</si>
  <si>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</si>
  <si>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</si>
  <si>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</si>
  <si>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</si>
  <si>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</si>
  <si>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</si>
  <si>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</si>
  <si>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</si>
  <si>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</si>
  <si>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</si>
  <si>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</si>
  <si>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</si>
  <si>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</si>
  <si>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</si>
  <si>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</si>
  <si>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</si>
  <si>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</si>
  <si>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</si>
  <si>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</si>
  <si>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</si>
  <si>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</si>
  <si>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</si>
  <si>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</si>
  <si>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</si>
  <si>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</si>
  <si>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</si>
  <si>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</si>
  <si>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</si>
  <si>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</si>
  <si>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</si>
  <si>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</si>
  <si>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</si>
  <si>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</si>
  <si>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</si>
  <si>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</si>
  <si>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</si>
  <si>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</si>
  <si>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</si>
  <si>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</si>
  <si>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</si>
  <si>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</si>
  <si>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</si>
  <si>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</si>
  <si>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</si>
  <si>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</si>
  <si>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</si>
  <si>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</si>
  <si>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</si>
  <si>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</si>
  <si>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</si>
  <si>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</si>
  <si>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</si>
  <si>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</si>
  <si>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</si>
  <si>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</si>
  <si>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</si>
  <si>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</si>
  <si>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</si>
  <si>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</si>
  <si>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</si>
  <si>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</si>
  <si>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</si>
  <si>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</si>
  <si>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</si>
  <si>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</si>
  <si>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</si>
  <si>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</si>
  <si>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</si>
  <si>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</si>
  <si>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</si>
  <si>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</si>
  <si>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</si>
  <si>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</si>
  <si>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</si>
  <si>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</si>
  <si>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</si>
  <si>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</si>
  <si>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</si>
  <si>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</si>
  <si>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</si>
  <si>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</si>
  <si>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</si>
  <si>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</si>
  <si>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</si>
  <si>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</si>
  <si>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</si>
  <si>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</si>
  <si>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</si>
  <si>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</si>
  <si>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</si>
  <si>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</si>
  <si>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</si>
  <si>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</si>
  <si>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</si>
  <si>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</si>
  <si>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</si>
  <si>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</si>
  <si>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</si>
  <si>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</si>
  <si>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</si>
  <si>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</si>
  <si>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</si>
  <si>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</si>
  <si>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</si>
  <si>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</si>
  <si>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</si>
  <si>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</si>
  <si>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</si>
  <si>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</si>
  <si>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</si>
  <si>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</si>
  <si>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</si>
  <si>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</si>
  <si>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</si>
  <si>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</si>
  <si>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</si>
  <si>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</si>
  <si>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</si>
  <si>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</si>
  <si>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</si>
  <si>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</si>
  <si>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</si>
  <si>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</si>
  <si>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</si>
  <si>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</si>
  <si>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</si>
  <si>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</si>
  <si>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</si>
  <si>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</si>
  <si>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</si>
  <si>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</si>
  <si>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</si>
  <si>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</si>
  <si>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</si>
  <si>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</si>
  <si>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</si>
  <si>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</si>
  <si>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</si>
  <si>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</si>
  <si>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</si>
  <si>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</si>
  <si>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</si>
  <si>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</si>
  <si>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</si>
  <si>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</si>
  <si>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</si>
  <si>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</si>
  <si>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</si>
  <si>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</si>
  <si>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</si>
  <si>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</si>
  <si>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</si>
  <si>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</si>
  <si>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</si>
  <si>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</si>
  <si>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</si>
  <si>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</si>
  <si>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</si>
  <si>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</si>
  <si>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</si>
  <si>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</si>
  <si>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</si>
  <si>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</si>
  <si>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</si>
  <si>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</si>
  <si>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</si>
  <si>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</si>
  <si>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</si>
  <si>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</si>
  <si>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</si>
  <si>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</si>
  <si>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</si>
  <si>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</si>
  <si>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</si>
  <si>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</si>
  <si>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</si>
  <si>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</si>
  <si>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</si>
  <si>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</si>
  <si>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</si>
  <si>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</si>
  <si>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</si>
  <si>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</si>
  <si>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</si>
  <si>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</si>
  <si>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</si>
  <si>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</si>
  <si>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</si>
  <si>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</si>
  <si>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</si>
  <si>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</si>
  <si>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</si>
  <si>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</si>
  <si>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</si>
  <si>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</si>
  <si>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</si>
  <si>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</si>
  <si>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</si>
  <si>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</si>
  <si>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</si>
  <si>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</si>
  <si>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</si>
  <si>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</si>
  <si>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</si>
  <si>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</si>
  <si>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</si>
  <si>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</si>
  <si>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</si>
  <si>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</si>
  <si>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</si>
  <si>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</si>
  <si>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</si>
  <si>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</si>
  <si>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</si>
  <si>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</si>
  <si>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</si>
  <si>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</si>
  <si>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</si>
  <si>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</si>
  <si>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</si>
  <si>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</si>
  <si>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</si>
  <si>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</si>
  <si>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</si>
  <si>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</si>
  <si>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</si>
  <si>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</si>
  <si>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</si>
  <si>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</si>
  <si>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</si>
  <si>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</si>
  <si>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</si>
  <si>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</si>
  <si>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</si>
  <si>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</si>
  <si>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</si>
  <si>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</si>
  <si>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</si>
  <si>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</si>
  <si>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</si>
  <si>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</si>
  <si>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</si>
  <si>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</si>
  <si>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</si>
  <si>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</si>
  <si>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</si>
  <si>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</si>
  <si>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</si>
  <si>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</si>
  <si>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</si>
  <si>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</si>
  <si>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</si>
  <si>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</si>
  <si>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</si>
  <si>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</si>
  <si>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</si>
  <si>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</si>
  <si>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</si>
  <si>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</si>
  <si>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</si>
  <si>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</si>
  <si>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</si>
  <si>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</si>
  <si>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</si>
  <si>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</si>
  <si>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</si>
  <si>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</si>
  <si>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</si>
  <si>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</si>
  <si>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</si>
  <si>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</si>
  <si>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</si>
  <si>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</si>
  <si>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</si>
  <si>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</si>
  <si>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</si>
  <si>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</si>
  <si>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</si>
  <si>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</si>
  <si>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</si>
  <si>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</si>
  <si>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</si>
  <si>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</si>
  <si>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</si>
  <si>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</si>
  <si>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</si>
  <si>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</si>
  <si>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</si>
  <si>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</si>
  <si>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</si>
  <si>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</si>
  <si>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</si>
  <si>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</si>
  <si>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</si>
  <si>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</si>
  <si>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</si>
  <si>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</si>
  <si>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</si>
  <si>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</si>
  <si>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</si>
  <si>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</si>
  <si>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</si>
  <si>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</si>
  <si>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</si>
  <si>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</si>
  <si>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</si>
  <si>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</si>
  <si>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</si>
  <si>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</si>
  <si>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</si>
  <si>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</si>
  <si>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</si>
  <si>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</si>
  <si>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</si>
  <si>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</si>
  <si>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</si>
  <si>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</si>
  <si>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</si>
  <si>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</si>
  <si>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</si>
  <si>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</si>
  <si>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</si>
  <si>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</si>
  <si>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</si>
  <si>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</si>
  <si>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</si>
  <si>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</si>
  <si>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</si>
  <si>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</si>
  <si>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</si>
  <si>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</si>
  <si>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</si>
  <si>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</si>
  <si>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</si>
  <si>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</si>
  <si>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</si>
  <si>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</si>
  <si>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</si>
  <si>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</si>
  <si>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</si>
  <si>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</si>
  <si>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</si>
  <si>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</si>
  <si>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</si>
  <si>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</si>
  <si>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</si>
  <si>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</si>
  <si>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</si>
  <si>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</si>
  <si>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</si>
  <si>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</si>
  <si>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</si>
  <si>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</si>
  <si>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</si>
  <si>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</si>
  <si>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</si>
  <si>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</si>
  <si>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</si>
  <si>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</si>
  <si>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</si>
  <si>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</si>
  <si>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</si>
  <si>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</si>
  <si>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</si>
  <si>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</si>
  <si>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</si>
  <si>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</si>
  <si>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</si>
  <si>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</si>
  <si>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</si>
  <si>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</si>
  <si>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</si>
  <si>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</si>
  <si>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</si>
  <si>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</si>
  <si>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</si>
  <si>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</si>
  <si>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</si>
  <si>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</si>
  <si>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</si>
  <si>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</si>
  <si>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</si>
  <si>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</si>
  <si>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</si>
  <si>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</si>
  <si>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</si>
  <si>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</si>
  <si>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</si>
  <si>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</si>
  <si>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</si>
  <si>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</si>
  <si>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</si>
  <si>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</si>
  <si>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</si>
  <si>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</si>
  <si>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</si>
  <si>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</si>
  <si>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</si>
  <si>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</si>
  <si>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</si>
  <si>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</si>
  <si>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</si>
  <si>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</si>
  <si>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</si>
  <si>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</si>
  <si>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</si>
  <si>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</si>
  <si>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</si>
  <si>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</si>
  <si>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</si>
  <si>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</si>
  <si>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</si>
  <si>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</si>
  <si>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</si>
  <si>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</si>
  <si>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</si>
  <si>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</si>
  <si>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</si>
  <si>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</si>
  <si>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</si>
  <si>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</si>
  <si>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</si>
  <si>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</si>
  <si>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</si>
  <si>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</si>
  <si>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</si>
  <si>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</si>
  <si>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</si>
  <si>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</si>
  <si>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</si>
  <si>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</si>
  <si>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</si>
  <si>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</si>
  <si>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</si>
  <si>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</si>
  <si>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</si>
  <si>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</si>
  <si>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</si>
  <si>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</si>
  <si>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</si>
  <si>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</si>
  <si>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</si>
  <si>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</si>
  <si>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</si>
  <si>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</si>
  <si>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</si>
  <si>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</si>
  <si>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</si>
  <si>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</si>
  <si>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</si>
  <si>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</si>
  <si>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</si>
  <si>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</si>
  <si>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</si>
  <si>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</si>
  <si>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</si>
  <si>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</si>
  <si>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</si>
  <si>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</si>
  <si>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</si>
  <si>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</si>
  <si>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</si>
  <si>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</si>
  <si>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</si>
  <si>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</si>
  <si>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</si>
  <si>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</si>
  <si>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</si>
  <si>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</si>
  <si>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</si>
  <si>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</si>
  <si>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</si>
  <si>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</si>
  <si>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</si>
  <si>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</si>
  <si>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</si>
  <si>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</si>
  <si>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</si>
  <si>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</si>
  <si>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</si>
  <si>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</si>
  <si>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</si>
  <si>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</si>
  <si>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</si>
  <si>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</si>
  <si>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</si>
  <si>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</si>
  <si>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</si>
  <si>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</si>
  <si>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</si>
  <si>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</si>
  <si>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</si>
  <si>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</si>
  <si>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</si>
  <si>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</si>
  <si>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</si>
  <si>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</si>
  <si>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</si>
  <si>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</si>
  <si>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</si>
  <si>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</si>
  <si>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</si>
  <si>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</si>
  <si>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</si>
  <si>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</si>
  <si>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</si>
  <si>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</si>
  <si>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</si>
  <si>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</si>
  <si>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</si>
  <si>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</si>
  <si>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</si>
  <si>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</si>
  <si>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</si>
  <si>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</si>
  <si>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</si>
  <si>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</si>
  <si>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</si>
  <si>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</si>
  <si>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</si>
  <si>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</si>
  <si>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</si>
  <si>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</si>
  <si>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</si>
  <si>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</si>
  <si>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</si>
  <si>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</si>
  <si>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</si>
  <si>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</si>
  <si>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</si>
  <si>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</si>
  <si>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</si>
  <si>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</si>
  <si>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</si>
  <si>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</si>
  <si>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</si>
  <si>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</si>
  <si>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</si>
  <si>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</si>
  <si>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</si>
  <si>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</si>
  <si>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</si>
  <si>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</si>
  <si>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</si>
  <si>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</si>
  <si>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</si>
  <si>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</si>
  <si>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</si>
  <si>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</si>
  <si>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</si>
  <si>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</si>
  <si>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</si>
  <si>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</si>
  <si>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</si>
  <si>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</si>
  <si>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</si>
  <si>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</si>
  <si>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</si>
  <si>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</si>
  <si>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</si>
  <si>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</si>
  <si>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</si>
  <si>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</si>
  <si>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</si>
  <si>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</si>
  <si>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</si>
  <si>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</si>
  <si>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</si>
  <si>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</si>
  <si>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</si>
  <si>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</si>
  <si>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</si>
  <si>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</si>
  <si>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</si>
  <si>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</si>
  <si>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</si>
  <si>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</si>
  <si>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</si>
  <si>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</si>
  <si>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</si>
  <si>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</si>
  <si>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</si>
  <si>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</si>
  <si>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</si>
  <si>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</si>
  <si>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</si>
  <si>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</si>
  <si>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</si>
  <si>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</si>
  <si>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</si>
  <si>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</si>
  <si>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</si>
  <si>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</si>
  <si>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</si>
  <si>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</si>
  <si>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</si>
  <si>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</si>
  <si>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</si>
  <si>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</si>
  <si>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</si>
  <si>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</si>
  <si>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</si>
  <si>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</si>
  <si>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</si>
  <si>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</si>
  <si>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</si>
  <si>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</si>
  <si>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</si>
  <si>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</si>
  <si>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</si>
  <si>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</si>
  <si>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</si>
  <si>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</si>
  <si>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</si>
  <si>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</si>
  <si>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</si>
  <si>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</si>
  <si>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</si>
  <si>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</si>
  <si>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</si>
  <si>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</si>
  <si>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</si>
  <si>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</si>
  <si>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</si>
  <si>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</si>
  <si>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</si>
  <si>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</si>
  <si>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</si>
  <si>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</si>
  <si>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</si>
  <si>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</si>
  <si>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</si>
  <si>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</si>
  <si>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</si>
  <si>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</si>
  <si>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</si>
  <si>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</si>
  <si>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</si>
  <si>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</si>
  <si>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</si>
  <si>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</si>
  <si>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</si>
  <si>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</si>
  <si>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</si>
  <si>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</si>
  <si>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</si>
  <si>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</si>
  <si>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</si>
  <si>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</si>
  <si>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</si>
  <si>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</si>
  <si>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</si>
  <si>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</si>
  <si>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</si>
  <si>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</si>
  <si>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</si>
  <si>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</si>
  <si>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</si>
  <si>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</si>
  <si>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</si>
  <si>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</si>
  <si>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</si>
  <si>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</si>
  <si>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</si>
  <si>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</si>
  <si>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</si>
  <si>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</si>
  <si>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</si>
  <si>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</si>
  <si>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</si>
  <si>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</si>
  <si>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</si>
  <si>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</si>
  <si>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</si>
  <si>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</si>
  <si>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</si>
  <si>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</si>
  <si>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</si>
  <si>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</si>
  <si>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</si>
  <si>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</si>
  <si>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</si>
  <si>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</si>
  <si>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</si>
  <si>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</si>
  <si>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</si>
  <si>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</si>
  <si>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</si>
  <si>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</si>
  <si>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</si>
  <si>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</si>
  <si>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</si>
  <si>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</si>
  <si>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</si>
  <si>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</si>
  <si>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</si>
  <si>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</si>
  <si>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</si>
  <si>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</si>
  <si>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</si>
  <si>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</si>
  <si>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</si>
  <si>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</si>
  <si>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</si>
  <si>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</si>
  <si>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</si>
  <si>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</si>
  <si>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</si>
  <si>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</si>
  <si>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</si>
  <si>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</si>
  <si>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</si>
  <si>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</si>
  <si>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</si>
  <si>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</si>
  <si>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</si>
  <si>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</si>
  <si>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</si>
  <si>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</si>
  <si>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</si>
  <si>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</si>
  <si>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</si>
  <si>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</si>
  <si>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</si>
  <si>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</si>
  <si>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</si>
  <si>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</si>
  <si>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</si>
  <si>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</si>
  <si>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</si>
  <si>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</si>
  <si>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</si>
  <si>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</si>
  <si>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</si>
  <si>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</si>
  <si>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</si>
  <si>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</si>
  <si>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</si>
  <si>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</si>
  <si>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</si>
  <si>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</si>
  <si>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</si>
  <si>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</si>
  <si>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</si>
  <si>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</si>
  <si>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</si>
  <si>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</si>
  <si>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</si>
  <si>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</si>
  <si>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</si>
  <si>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</si>
  <si>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</si>
  <si>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</si>
  <si>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</si>
  <si>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</si>
  <si>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</si>
  <si>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</si>
  <si>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</si>
  <si>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</si>
  <si>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</si>
  <si>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</si>
  <si>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</si>
  <si>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</si>
  <si>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</si>
  <si>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</si>
  <si>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</si>
  <si>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</si>
  <si>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</si>
  <si>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</si>
  <si>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</si>
  <si>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</si>
  <si>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</si>
  <si>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</si>
  <si>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</si>
  <si>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</si>
  <si>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</si>
  <si>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</si>
  <si>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</si>
  <si>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</si>
  <si>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</si>
  <si>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</si>
  <si>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</si>
  <si>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</si>
  <si>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</si>
  <si>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</si>
  <si>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</si>
  <si>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</si>
  <si>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</si>
  <si>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</si>
  <si>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</si>
  <si>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</si>
  <si>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</si>
  <si>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</si>
  <si>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</si>
  <si>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</si>
  <si>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</si>
  <si>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</si>
  <si>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</si>
  <si>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</si>
  <si>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</si>
  <si>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</si>
  <si>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</si>
  <si>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</si>
  <si>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</si>
  <si>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</si>
  <si>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</si>
  <si>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</si>
  <si>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</si>
  <si>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</si>
  <si>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</si>
  <si>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</si>
  <si>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</si>
  <si>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</si>
  <si>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</si>
  <si>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</si>
  <si>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</si>
  <si>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</si>
  <si>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</si>
  <si>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</si>
  <si>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</si>
  <si>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</si>
  <si>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</si>
  <si>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</si>
  <si>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</si>
  <si>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</si>
  <si>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</si>
  <si>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</si>
  <si>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</si>
  <si>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</si>
  <si>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</si>
  <si>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</si>
  <si>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</si>
  <si>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</si>
  <si>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</si>
  <si>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</si>
  <si>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</si>
  <si>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</si>
  <si>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</si>
  <si>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</si>
  <si>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</si>
  <si>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</si>
  <si>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</si>
  <si>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</si>
  <si>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</si>
  <si>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</si>
  <si>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</si>
  <si>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</si>
  <si>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</si>
  <si>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</si>
  <si>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</si>
  <si>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</si>
  <si>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</si>
  <si>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</si>
  <si>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</si>
  <si>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</si>
  <si>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</si>
  <si>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</si>
  <si>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</si>
  <si>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</si>
  <si>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</si>
  <si>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</si>
  <si>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</si>
  <si>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</si>
  <si>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</si>
  <si>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</si>
  <si>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</si>
  <si>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</si>
  <si>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</si>
  <si>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</si>
  <si>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</si>
  <si>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</si>
  <si>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</si>
  <si>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</si>
  <si>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</si>
  <si>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</si>
  <si>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</si>
  <si>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</si>
  <si>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</si>
  <si>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</si>
  <si>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</si>
  <si>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</si>
  <si>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</si>
  <si>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</si>
  <si>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</si>
  <si>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</si>
  <si>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</si>
  <si>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</si>
  <si>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</si>
  <si>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</si>
  <si>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</si>
  <si>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</si>
  <si>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</si>
  <si>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</si>
  <si>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</si>
  <si>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</si>
  <si>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</si>
  <si>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</si>
  <si>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</si>
  <si>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</si>
  <si>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</si>
  <si>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</si>
  <si>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</si>
  <si>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</si>
  <si>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</si>
  <si>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</si>
  <si>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</si>
  <si>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</si>
  <si>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</si>
  <si>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</si>
  <si>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</si>
  <si>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</si>
  <si>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</si>
  <si>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</si>
  <si>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</si>
  <si>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</si>
  <si>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</si>
  <si>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</si>
  <si>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</si>
  <si>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</si>
  <si>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</si>
  <si>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</si>
  <si>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</si>
  <si>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</si>
  <si>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</si>
  <si>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</si>
  <si>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</si>
  <si>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</si>
  <si>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</si>
  <si>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</si>
  <si>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</si>
  <si>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</si>
  <si>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</si>
  <si>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</si>
  <si>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</si>
  <si>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</si>
  <si>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</si>
  <si>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</si>
  <si>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</si>
  <si>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</si>
  <si>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</si>
  <si>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</si>
  <si>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</si>
  <si>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</si>
  <si>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</si>
  <si>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</si>
  <si>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</si>
  <si>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</si>
  <si>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</si>
  <si>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</si>
  <si>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</si>
  <si>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</si>
  <si>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</si>
  <si>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</si>
  <si>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</si>
  <si>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</si>
  <si>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</si>
  <si>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</si>
  <si>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</si>
  <si>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</si>
  <si>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</si>
  <si>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</si>
  <si>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</si>
  <si>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</si>
  <si>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</si>
  <si>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</si>
  <si>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</si>
  <si>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</si>
  <si>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</si>
  <si>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</si>
  <si>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</si>
  <si>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</si>
  <si>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</si>
  <si>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</si>
  <si>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</si>
  <si>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</si>
  <si>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</si>
  <si>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</si>
  <si>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</si>
  <si>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</si>
  <si>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</si>
  <si>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</si>
  <si>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</si>
  <si>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</si>
  <si>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</si>
  <si>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</si>
  <si>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</si>
  <si>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</si>
  <si>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</si>
  <si>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</si>
  <si>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</si>
  <si>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</si>
  <si>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</si>
  <si>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</si>
  <si>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</si>
  <si>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</si>
  <si>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</si>
  <si>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</si>
  <si>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</si>
  <si>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</si>
  <si>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</si>
  <si>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</si>
  <si>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</si>
  <si>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</si>
  <si>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</si>
  <si>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</si>
  <si>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</si>
  <si>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</si>
  <si>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</si>
  <si>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</si>
  <si>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</si>
  <si>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</si>
  <si>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</si>
  <si>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</si>
  <si>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</si>
  <si>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</si>
  <si>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</si>
  <si>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</si>
  <si>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</si>
  <si>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</si>
  <si>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</si>
  <si>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</si>
  <si>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</si>
  <si>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</si>
  <si>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</si>
  <si>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</si>
  <si>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</si>
  <si>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</si>
  <si>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</si>
  <si>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</si>
  <si>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</si>
  <si>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</si>
  <si>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</si>
  <si>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</si>
  <si>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</si>
  <si>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</si>
  <si>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</si>
  <si>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</si>
  <si>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</si>
  <si>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</si>
  <si>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</si>
  <si>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</si>
  <si>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</si>
  <si>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</si>
  <si>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</si>
  <si>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</si>
  <si>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</si>
  <si>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</si>
  <si>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</si>
  <si>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</si>
  <si>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</si>
  <si>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</si>
  <si>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</si>
  <si>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</si>
  <si>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</si>
  <si>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</si>
  <si>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</si>
  <si>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</si>
  <si>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</si>
  <si>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</si>
  <si>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</si>
  <si>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</si>
  <si>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</si>
  <si>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</si>
  <si>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</si>
  <si>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</si>
  <si>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</si>
  <si>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</si>
  <si>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</si>
  <si>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</si>
  <si>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</si>
  <si>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</si>
  <si>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</si>
  <si>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</si>
  <si>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</si>
  <si>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</si>
  <si>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</si>
  <si>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</si>
  <si>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</si>
  <si>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</si>
  <si>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</si>
  <si>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</si>
  <si>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</si>
  <si>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</si>
  <si>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</si>
  <si>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</si>
  <si>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</si>
  <si>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</si>
  <si>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</si>
  <si>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</si>
  <si>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</si>
  <si>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</si>
  <si>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</si>
  <si>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</si>
  <si>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</si>
  <si>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</si>
  <si>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</si>
  <si>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</si>
  <si>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</si>
  <si>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</si>
  <si>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</si>
  <si>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</si>
  <si>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</si>
  <si>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</si>
  <si>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</si>
  <si>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</si>
  <si>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</si>
  <si>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</si>
  <si>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</si>
  <si>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</si>
  <si>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</si>
  <si>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</si>
  <si>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</si>
  <si>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</si>
  <si>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</si>
  <si>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</si>
  <si>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</si>
  <si>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</si>
  <si>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</si>
  <si>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</si>
  <si>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</si>
  <si>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</si>
  <si>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</si>
  <si>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</si>
  <si>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</si>
  <si>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</si>
  <si>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</si>
  <si>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</si>
  <si>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</si>
  <si>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</si>
  <si>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</si>
  <si>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</si>
  <si>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</si>
  <si>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</si>
  <si>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</si>
  <si>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</si>
  <si>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</si>
  <si>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</si>
  <si>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</si>
  <si>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</si>
  <si>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</si>
  <si>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</si>
  <si>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</si>
  <si>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</si>
  <si>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</si>
  <si>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</si>
  <si>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</si>
  <si>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</si>
  <si>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</si>
  <si>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</si>
  <si>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</si>
  <si>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</si>
  <si>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</si>
  <si>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</si>
  <si>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</si>
  <si>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</si>
  <si>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</si>
  <si>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</si>
  <si>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</si>
  <si>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</si>
  <si>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</si>
  <si>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</si>
  <si>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</si>
  <si>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</si>
  <si>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</si>
  <si>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</si>
  <si>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</si>
  <si>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</si>
  <si>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</si>
  <si>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</si>
  <si>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</si>
  <si>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</si>
  <si>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</si>
  <si>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</si>
  <si>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</si>
  <si>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</si>
  <si>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</si>
  <si>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</si>
  <si>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</si>
  <si>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</si>
  <si>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</si>
  <si>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</si>
  <si>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</si>
  <si>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</si>
  <si>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</si>
  <si>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</si>
  <si>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</si>
  <si>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</si>
  <si>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</si>
  <si>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</si>
  <si>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</si>
  <si>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</si>
  <si>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</si>
  <si>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</si>
  <si>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</si>
  <si>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</si>
  <si>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</si>
  <si>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</si>
  <si>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</si>
  <si>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</si>
  <si>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</si>
  <si>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</si>
  <si>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</si>
  <si>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</si>
  <si>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</si>
  <si>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</si>
  <si>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</si>
  <si>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</si>
  <si>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</si>
  <si>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</si>
  <si>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</si>
  <si>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</si>
  <si>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</si>
  <si>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</si>
  <si>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</si>
  <si>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</si>
  <si>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</si>
  <si>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</si>
  <si>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</si>
  <si>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</si>
  <si>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</si>
  <si>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</si>
  <si>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</si>
  <si>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</si>
  <si>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</si>
  <si>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</si>
  <si>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</si>
  <si>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</si>
  <si>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</si>
  <si>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</si>
  <si>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</si>
  <si>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</si>
  <si>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</si>
  <si>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</si>
  <si>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</si>
  <si>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</si>
  <si>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</si>
  <si>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</si>
  <si>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</si>
  <si>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</si>
  <si>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</si>
  <si>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</si>
  <si>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</si>
  <si>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</si>
  <si>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</si>
  <si>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</si>
  <si>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</si>
  <si>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</si>
  <si>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</si>
  <si>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</si>
  <si>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</si>
  <si>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</si>
  <si>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</si>
  <si>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</si>
  <si>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</si>
  <si>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</si>
  <si>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</si>
  <si>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</si>
  <si>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</si>
  <si>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</si>
  <si>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</si>
  <si>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</si>
  <si>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</si>
  <si>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</si>
  <si>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</si>
  <si>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</si>
  <si>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</si>
  <si>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</si>
  <si>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</si>
  <si>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</si>
  <si>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</si>
  <si>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</si>
  <si>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</si>
  <si>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</si>
  <si>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</si>
  <si>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</si>
  <si>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</si>
  <si>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</si>
  <si>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</si>
  <si>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</si>
  <si>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</si>
  <si>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</si>
  <si>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</si>
  <si>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</si>
  <si>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</si>
  <si>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</si>
  <si>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</si>
  <si>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</si>
  <si>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</si>
  <si>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</si>
  <si>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</si>
  <si>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</si>
  <si>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</si>
  <si>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</si>
  <si>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</si>
  <si>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</si>
  <si>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</si>
  <si>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</si>
  <si>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</si>
  <si>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</si>
  <si>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</si>
  <si>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</si>
  <si>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</si>
  <si>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</si>
  <si>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</si>
  <si>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</si>
  <si>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</si>
  <si>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</si>
  <si>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</si>
  <si>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</si>
  <si>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</si>
  <si>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</si>
  <si>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</si>
  <si>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</si>
  <si>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</si>
  <si>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</si>
  <si>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</si>
  <si>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</si>
  <si>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</si>
  <si>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</si>
  <si>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</si>
  <si>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</si>
  <si>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</si>
  <si>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</si>
  <si>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</si>
  <si>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</si>
  <si>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</si>
  <si>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</si>
  <si>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</si>
  <si>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</si>
  <si>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</si>
  <si>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</si>
  <si>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</si>
  <si>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</si>
  <si>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</si>
  <si>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</si>
  <si>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</si>
  <si>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</si>
  <si>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</si>
  <si>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</si>
  <si>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</si>
  <si>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</si>
  <si>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</si>
  <si>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</si>
  <si>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</si>
  <si>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</si>
  <si>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</si>
  <si>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</si>
  <si>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</si>
  <si>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</si>
  <si>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</si>
  <si>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</si>
  <si>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</si>
  <si>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</si>
  <si>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</si>
  <si>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</si>
  <si>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</si>
  <si>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</si>
  <si>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</si>
  <si>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</si>
  <si>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</si>
  <si>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</si>
  <si>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</si>
  <si>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</si>
  <si>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</si>
  <si>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</si>
  <si>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</si>
  <si>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</si>
  <si>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</si>
  <si>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</si>
  <si>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</si>
  <si>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</si>
  <si>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</si>
  <si>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</si>
  <si>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</si>
  <si>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</si>
  <si>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</si>
  <si>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</si>
  <si>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</si>
  <si>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</si>
  <si>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</si>
  <si>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</si>
  <si>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</si>
  <si>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</si>
  <si>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</si>
  <si>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</si>
  <si>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</si>
  <si>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</si>
  <si>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</si>
  <si>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</si>
  <si>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</si>
  <si>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</si>
  <si>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</si>
  <si>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</si>
  <si>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</si>
  <si>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</si>
  <si>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</si>
  <si>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</si>
  <si>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</si>
  <si>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</si>
  <si>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</si>
  <si>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</si>
  <si>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</si>
  <si>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</si>
  <si>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</si>
  <si>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</si>
  <si>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</si>
  <si>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</si>
  <si>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</si>
  <si>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</si>
  <si>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</si>
  <si>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</si>
  <si>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</si>
  <si>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</si>
  <si>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</si>
  <si>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</si>
  <si>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</si>
  <si>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</si>
  <si>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</si>
  <si>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</si>
  <si>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</si>
  <si>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</si>
  <si>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</si>
  <si>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</si>
  <si>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</si>
  <si>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</si>
  <si>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</si>
  <si>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</si>
  <si>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</si>
  <si>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</si>
  <si>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</si>
  <si>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</si>
  <si>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</si>
  <si>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</si>
  <si>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</si>
  <si>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</si>
  <si>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</si>
  <si>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</si>
  <si>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</si>
  <si>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</si>
  <si>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</si>
  <si>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</si>
  <si>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</si>
  <si>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</si>
  <si>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</si>
  <si>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</si>
  <si>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</si>
  <si>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</si>
  <si>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</si>
  <si>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</si>
  <si>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</si>
  <si>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</si>
  <si>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</si>
  <si>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</si>
  <si>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</si>
  <si>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</si>
  <si>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</si>
  <si>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</si>
  <si>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</si>
  <si>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</si>
  <si>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</si>
  <si>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</si>
  <si>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</si>
  <si>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</si>
  <si>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</si>
  <si>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</si>
  <si>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</si>
  <si>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</si>
  <si>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</si>
  <si>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</si>
  <si>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</si>
  <si>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</si>
  <si>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</si>
  <si>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</si>
  <si>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</si>
  <si>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</si>
  <si>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</si>
  <si>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</si>
  <si>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</si>
  <si>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</si>
  <si>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</si>
  <si>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</si>
  <si>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</si>
  <si>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</si>
  <si>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</si>
  <si>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</si>
  <si>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</si>
  <si>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</si>
  <si>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</si>
  <si>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</si>
  <si>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</si>
  <si>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</si>
  <si>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</si>
  <si>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</si>
  <si>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</si>
  <si>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</si>
  <si>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</si>
  <si>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</si>
  <si>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</si>
  <si>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</si>
  <si>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</si>
  <si>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</si>
  <si>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</si>
  <si>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</si>
  <si>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</si>
  <si>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</si>
  <si>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</si>
  <si>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</si>
  <si>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</si>
  <si>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</si>
  <si>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</si>
  <si>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</si>
  <si>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</si>
  <si>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</si>
  <si>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</si>
  <si>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</si>
  <si>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</si>
  <si>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</si>
  <si>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</si>
  <si>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</si>
  <si>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</si>
  <si>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</si>
  <si>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</si>
  <si>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</si>
  <si>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</si>
  <si>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</si>
  <si>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</si>
  <si>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</si>
  <si>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</si>
  <si>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</si>
  <si>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</si>
  <si>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</si>
  <si>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</si>
  <si>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</si>
  <si>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</si>
  <si>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</si>
  <si>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</si>
  <si>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</si>
  <si>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</si>
  <si>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</si>
  <si>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</si>
  <si>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</si>
  <si>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</si>
  <si>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</si>
  <si>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</si>
  <si>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</si>
  <si>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</si>
  <si>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</si>
  <si>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</si>
  <si>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</si>
  <si>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</si>
  <si>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</si>
  <si>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</si>
  <si>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</si>
  <si>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</si>
  <si>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</si>
  <si>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</si>
  <si>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</si>
  <si>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</si>
  <si>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</si>
  <si>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</si>
  <si>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</si>
  <si>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</si>
  <si>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</si>
  <si>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</si>
  <si>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</si>
  <si>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</si>
  <si>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</si>
  <si>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</si>
  <si>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</si>
  <si>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</si>
  <si>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</si>
  <si>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</si>
  <si>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</si>
  <si>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</si>
  <si>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</si>
  <si>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</si>
  <si>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</si>
  <si>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</si>
  <si>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</si>
  <si>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</si>
  <si>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</si>
  <si>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</si>
  <si>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</si>
  <si>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</si>
  <si>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</si>
  <si>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</si>
  <si>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</si>
  <si>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</si>
  <si>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</si>
  <si>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</si>
  <si>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</si>
  <si>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</si>
  <si>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</si>
  <si>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</si>
  <si>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</si>
  <si>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</si>
  <si>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</si>
  <si>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</si>
  <si>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</si>
  <si>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</si>
  <si>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</si>
  <si>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</si>
  <si>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</si>
  <si>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</si>
  <si>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</si>
  <si>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</si>
  <si>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</si>
  <si>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</si>
  <si>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</si>
  <si>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</si>
  <si>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</si>
  <si>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</si>
  <si>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</si>
  <si>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</si>
  <si>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</si>
  <si>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</si>
  <si>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</si>
  <si>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</si>
  <si>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</si>
  <si>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</si>
  <si>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</si>
  <si>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</si>
  <si>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</si>
  <si>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</si>
  <si>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</si>
  <si>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</si>
  <si>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</si>
  <si>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</si>
  <si>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</si>
  <si>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</si>
  <si>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</si>
  <si>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</si>
  <si>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</si>
  <si>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</si>
  <si>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</si>
  <si>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</si>
  <si>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</si>
  <si>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</si>
  <si>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</si>
  <si>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</si>
  <si>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</si>
  <si>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</si>
  <si>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</si>
  <si>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</si>
  <si>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</si>
  <si>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</si>
  <si>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</si>
  <si>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</si>
  <si>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</si>
  <si>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</si>
  <si>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</si>
  <si>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</si>
  <si>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</si>
  <si>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</si>
  <si>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</si>
  <si>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</si>
  <si>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</si>
  <si>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</si>
  <si>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</si>
  <si>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</si>
  <si>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</si>
  <si>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</si>
  <si>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</si>
  <si>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</si>
  <si>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</si>
  <si>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</si>
  <si>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</si>
  <si>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</si>
  <si>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</si>
  <si>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</si>
  <si>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</si>
  <si>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</si>
  <si>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</si>
  <si>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</si>
  <si>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</si>
  <si>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</si>
  <si>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</si>
  <si>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</si>
  <si>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</si>
  <si>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</si>
  <si>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</si>
  <si>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</si>
  <si>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</si>
  <si>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</si>
  <si>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</si>
  <si>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</si>
  <si>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</si>
  <si>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</si>
  <si>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</si>
  <si>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</si>
  <si>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</si>
  <si>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</si>
  <si>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</si>
  <si>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</si>
  <si>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</si>
  <si>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</si>
  <si>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</si>
  <si>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</si>
  <si>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</si>
  <si>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</si>
  <si>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</si>
  <si>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</si>
  <si>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</si>
  <si>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</si>
  <si>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</si>
  <si>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</si>
  <si>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</si>
  <si>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</si>
  <si>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</si>
  <si>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</si>
  <si>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</si>
  <si>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</si>
  <si>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</si>
  <si>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</si>
  <si>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</si>
  <si>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</si>
  <si>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</si>
  <si>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</si>
  <si>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</si>
  <si>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</si>
  <si>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</si>
  <si>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</si>
  <si>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</si>
  <si>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</si>
  <si>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</si>
  <si>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</si>
  <si>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</si>
  <si>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</si>
  <si>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</si>
  <si>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</si>
  <si>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</si>
  <si>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</si>
  <si>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</si>
  <si>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</si>
  <si>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</si>
  <si>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</si>
  <si>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</si>
  <si>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</si>
  <si>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</si>
  <si>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</si>
  <si>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</si>
  <si>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</si>
  <si>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</si>
  <si>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</si>
  <si>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</si>
  <si>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</si>
  <si>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</si>
  <si>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</si>
  <si>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</si>
  <si>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</si>
  <si>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</si>
  <si>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</si>
  <si>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</si>
  <si>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</si>
  <si>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</si>
  <si>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</si>
  <si>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</si>
  <si>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</si>
  <si>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</si>
  <si>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</si>
  <si>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</si>
  <si>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</si>
  <si>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</si>
  <si>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</si>
  <si>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</si>
  <si>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</si>
  <si>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</si>
  <si>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</si>
  <si>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</si>
  <si>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</si>
  <si>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</si>
  <si>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</si>
  <si>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</si>
  <si>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</si>
  <si>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</si>
  <si>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</si>
  <si>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</si>
  <si>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</si>
  <si>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</si>
  <si>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</si>
  <si>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</si>
  <si>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</si>
  <si>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</si>
  <si>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</si>
  <si>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</si>
  <si>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</si>
  <si>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</si>
  <si>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</si>
  <si>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</si>
  <si>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</si>
  <si>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</si>
  <si>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</si>
  <si>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</si>
  <si>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</si>
  <si>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</si>
  <si>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</si>
  <si>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</si>
  <si>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</si>
  <si>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</si>
  <si>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</si>
  <si>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</si>
  <si>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</si>
  <si>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</si>
  <si>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</si>
  <si>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</si>
  <si>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</si>
  <si>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</si>
  <si>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</si>
  <si>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</si>
  <si>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</si>
  <si>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</si>
  <si>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</si>
  <si>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</si>
  <si>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</si>
  <si>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</si>
  <si>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</si>
  <si>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</si>
  <si>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</si>
  <si>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</si>
  <si>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</si>
  <si>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</si>
  <si>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</si>
  <si>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</si>
  <si>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</si>
  <si>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</si>
  <si>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</si>
  <si>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</si>
  <si>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</si>
  <si>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</si>
  <si>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</si>
  <si>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</si>
  <si>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</si>
  <si>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</si>
  <si>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</si>
  <si>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</si>
  <si>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</si>
  <si>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</si>
  <si>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</si>
  <si>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</si>
  <si>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</si>
  <si>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</si>
  <si>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</si>
  <si>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</si>
  <si>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</si>
  <si>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</si>
  <si>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</si>
  <si>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</si>
  <si>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</si>
  <si>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</si>
  <si>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</si>
  <si>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</si>
  <si>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</si>
  <si>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</si>
  <si>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</si>
  <si>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</si>
  <si>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</si>
  <si>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</si>
  <si>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</si>
  <si>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</si>
  <si>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</si>
  <si>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</si>
  <si>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</si>
  <si>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</si>
  <si>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</si>
  <si>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</si>
  <si>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</si>
  <si>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</si>
  <si>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</si>
  <si>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</si>
  <si>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</si>
  <si>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</si>
  <si>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</si>
  <si>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</si>
  <si>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</si>
  <si>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</si>
  <si>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</si>
  <si>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</si>
  <si>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</si>
  <si>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</si>
  <si>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</si>
  <si>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</si>
  <si>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</si>
  <si>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</si>
  <si>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</si>
  <si>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</si>
  <si>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</si>
  <si>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</si>
  <si>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</si>
  <si>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</si>
  <si>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</si>
  <si>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</si>
  <si>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</si>
  <si>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</si>
  <si>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</si>
  <si>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</si>
  <si>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</si>
  <si>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</si>
  <si>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</si>
  <si>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</si>
  <si>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</si>
  <si>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</si>
  <si>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</si>
  <si>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</si>
  <si>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</si>
  <si>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</si>
  <si>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</si>
  <si>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</si>
  <si>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</si>
  <si>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</si>
  <si>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</si>
  <si>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</si>
  <si>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</si>
  <si>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</si>
  <si>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</si>
  <si>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</si>
  <si>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</si>
  <si>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</si>
  <si>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</si>
  <si>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</si>
  <si>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</si>
  <si>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</si>
  <si>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</si>
  <si>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</si>
  <si>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</si>
  <si>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</si>
  <si>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</si>
  <si>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</si>
  <si>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</si>
  <si>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</si>
  <si>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</si>
  <si>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</si>
  <si>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</si>
  <si>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</si>
  <si>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</si>
  <si>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</si>
  <si>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</si>
  <si>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</si>
  <si>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</si>
  <si>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</si>
  <si>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</si>
  <si>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</si>
  <si>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</si>
  <si>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</si>
  <si>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</si>
  <si>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</si>
  <si>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</si>
  <si>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</si>
  <si>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</si>
  <si>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</si>
  <si>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</si>
  <si>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</si>
  <si>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</si>
  <si>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</si>
  <si>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</si>
  <si>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</si>
  <si>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</si>
  <si>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</si>
  <si>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</si>
  <si>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</si>
  <si>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</si>
  <si>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</si>
  <si>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</si>
  <si>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</si>
  <si>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</si>
  <si>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</si>
  <si>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</si>
  <si>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</si>
  <si>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</si>
  <si>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</si>
  <si>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</si>
  <si>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</si>
  <si>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</si>
  <si>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</si>
  <si>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</si>
  <si>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</si>
  <si>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</si>
  <si>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</si>
  <si>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</si>
  <si>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</si>
  <si>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</si>
  <si>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</si>
  <si>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</si>
  <si>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</si>
  <si>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</si>
  <si>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</si>
  <si>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</si>
  <si>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</si>
  <si>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</si>
  <si>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</si>
  <si>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</si>
  <si>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</si>
  <si>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</si>
  <si>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</si>
  <si>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</si>
  <si>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</si>
  <si>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</si>
  <si>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</si>
  <si>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</si>
  <si>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</si>
  <si>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</si>
  <si>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</si>
  <si>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</si>
  <si>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</si>
  <si>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</si>
  <si>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</si>
  <si>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</si>
  <si>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</si>
  <si>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</si>
  <si>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</si>
  <si>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</si>
  <si>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</si>
  <si>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</si>
  <si>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</si>
  <si>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</si>
  <si>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</si>
  <si>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</si>
  <si>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</si>
  <si>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</si>
  <si>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</si>
  <si>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</si>
  <si>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</si>
  <si>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</si>
  <si>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</si>
  <si>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</si>
  <si>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</si>
  <si>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</si>
  <si>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</si>
  <si>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</si>
  <si>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</si>
  <si>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</si>
  <si>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</si>
  <si>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</si>
  <si>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</si>
  <si>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</si>
  <si>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</si>
  <si>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</si>
  <si>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</si>
  <si>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</si>
  <si>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</si>
  <si>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</si>
  <si>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</si>
  <si>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</si>
  <si>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</si>
  <si>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</si>
  <si>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</si>
  <si>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</si>
  <si>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</si>
  <si>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</si>
  <si>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</si>
  <si>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</si>
  <si>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</si>
  <si>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</si>
  <si>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</si>
  <si>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</si>
  <si>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</si>
  <si>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</si>
  <si>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</si>
  <si>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</si>
  <si>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</si>
  <si>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</si>
  <si>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</si>
  <si>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</si>
  <si>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</si>
  <si>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</si>
  <si>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</si>
  <si>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</si>
  <si>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</si>
  <si>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</si>
  <si>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</si>
  <si>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</si>
  <si>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</si>
  <si>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</si>
  <si>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</si>
  <si>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</si>
  <si>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</si>
  <si>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</si>
  <si>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</si>
  <si>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</si>
  <si>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</si>
  <si>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</si>
  <si>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</si>
  <si>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</si>
  <si>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</si>
  <si>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</si>
  <si>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</si>
  <si>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</si>
  <si>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</si>
  <si>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</si>
  <si>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</si>
  <si>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</si>
  <si>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</si>
  <si>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</si>
  <si>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</si>
  <si>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</si>
  <si>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</si>
  <si>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</si>
  <si>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</si>
  <si>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</si>
  <si>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</si>
  <si>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</si>
  <si>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</si>
  <si>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</si>
  <si>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</si>
  <si>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</si>
  <si>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</si>
  <si>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</si>
  <si>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</si>
  <si>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</si>
  <si>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</si>
  <si>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</si>
  <si>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</si>
  <si>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</si>
  <si>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</si>
  <si>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</si>
  <si>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</si>
  <si>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</si>
  <si>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</si>
  <si>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</si>
  <si>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</si>
  <si>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</si>
  <si>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</si>
  <si>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</si>
  <si>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</si>
  <si>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</si>
  <si>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</si>
  <si>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</si>
  <si>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</si>
  <si>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</si>
  <si>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</si>
  <si>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</si>
  <si>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</si>
  <si>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</si>
  <si>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</si>
  <si>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</si>
  <si>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</si>
  <si>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</si>
  <si>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</si>
  <si>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</si>
  <si>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</si>
  <si>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</si>
  <si>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</si>
  <si>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</si>
  <si>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</si>
  <si>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</si>
  <si>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</si>
  <si>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</si>
  <si>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</si>
  <si>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</si>
  <si>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</si>
  <si>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</si>
  <si>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</si>
  <si>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</si>
  <si>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</si>
  <si>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</si>
  <si>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</si>
  <si>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</si>
  <si>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</si>
  <si>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</si>
  <si>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</si>
  <si>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</si>
  <si>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</si>
  <si>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</si>
  <si>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</si>
  <si>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</si>
  <si>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</si>
  <si>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</si>
  <si>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</si>
  <si>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</si>
  <si>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</si>
  <si>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</si>
  <si>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</si>
  <si>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</si>
  <si>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</si>
  <si>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</si>
  <si>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</si>
  <si>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</si>
  <si>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</si>
  <si>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</si>
  <si>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</si>
  <si>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</si>
  <si>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</si>
  <si>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</si>
  <si>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</si>
  <si>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</si>
  <si>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</si>
  <si>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</si>
  <si>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</si>
  <si>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</si>
  <si>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</si>
  <si>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</si>
  <si>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</si>
  <si>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</si>
  <si>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</si>
  <si>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</si>
  <si>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</si>
  <si>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</si>
  <si>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</si>
  <si>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</si>
  <si>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</si>
  <si>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</si>
  <si>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</si>
  <si>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</si>
  <si>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</si>
  <si>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</si>
  <si>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</si>
  <si>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</si>
  <si>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</si>
  <si>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</si>
  <si>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</si>
  <si>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</si>
  <si>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</si>
  <si>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</si>
  <si>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</si>
  <si>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</si>
  <si>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</si>
  <si>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</si>
  <si>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</si>
  <si>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</si>
  <si>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</si>
  <si>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</si>
  <si>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</si>
  <si>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</si>
  <si>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</si>
  <si>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</si>
  <si>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</si>
  <si>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</si>
  <si>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</si>
  <si>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</si>
  <si>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</si>
  <si>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</si>
  <si>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</si>
  <si>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</si>
  <si>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</si>
  <si>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</si>
  <si>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</si>
  <si>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</si>
  <si>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</si>
  <si>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</si>
  <si>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</si>
  <si>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</si>
  <si>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</si>
  <si>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</si>
  <si>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</si>
  <si>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</si>
  <si>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</si>
  <si>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</si>
  <si>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</si>
  <si>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</si>
  <si>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</si>
  <si>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</si>
  <si>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</si>
  <si>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</si>
  <si>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</si>
  <si>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</si>
  <si>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</si>
  <si>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</si>
  <si>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</si>
  <si>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</si>
  <si>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</si>
  <si>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</si>
  <si>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</si>
  <si>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</si>
  <si>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</si>
  <si>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</si>
  <si>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</si>
  <si>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</si>
  <si>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</si>
  <si>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</si>
  <si>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</si>
  <si>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</si>
  <si>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</si>
  <si>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</si>
  <si>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</si>
  <si>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</si>
  <si>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</si>
  <si>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</si>
  <si>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</si>
  <si>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</si>
  <si>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</si>
  <si>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</si>
  <si>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</si>
  <si>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</si>
  <si>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</si>
  <si>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</si>
  <si>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</si>
  <si>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</si>
  <si>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</si>
  <si>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</si>
  <si>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</si>
  <si>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</si>
  <si>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</si>
  <si>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</si>
  <si>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</si>
  <si>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</si>
  <si>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</si>
  <si>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</si>
  <si>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</si>
  <si>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</si>
  <si>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</si>
  <si>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</si>
  <si>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</si>
  <si>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</si>
  <si>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</si>
  <si>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</si>
  <si>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</si>
  <si>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</si>
  <si>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</si>
  <si>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</si>
  <si>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</si>
  <si>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</si>
  <si>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</si>
  <si>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</si>
  <si>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</si>
  <si>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</si>
  <si>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</si>
  <si>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</si>
  <si>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</si>
  <si>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</si>
  <si>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</si>
  <si>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</si>
  <si>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</si>
  <si>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</si>
  <si>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</si>
  <si>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</si>
  <si>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</si>
  <si>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</si>
  <si>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</si>
  <si>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</si>
  <si>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</si>
  <si>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</si>
  <si>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</si>
  <si>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</si>
  <si>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</si>
  <si>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</si>
  <si>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</si>
  <si>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</si>
  <si>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</si>
  <si>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</si>
  <si>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</si>
  <si>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</si>
  <si>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</si>
  <si>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</si>
  <si>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</si>
  <si>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</si>
  <si>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</si>
  <si>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</si>
  <si>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</si>
  <si>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</si>
  <si>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</si>
  <si>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</si>
  <si>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</si>
  <si>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</si>
  <si>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</si>
  <si>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</si>
  <si>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</si>
  <si>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</si>
  <si>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</si>
  <si>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</si>
  <si>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</si>
  <si>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</si>
  <si>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</si>
  <si>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</si>
  <si>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</si>
  <si>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</si>
  <si>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</si>
  <si>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</si>
  <si>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</si>
  <si>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</si>
  <si>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</si>
  <si>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</si>
  <si>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</si>
  <si>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</si>
  <si>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</si>
  <si>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</si>
  <si>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</si>
  <si>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</si>
  <si>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</si>
  <si>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</si>
  <si>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</si>
  <si>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</si>
  <si>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</si>
  <si>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</si>
  <si>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</si>
  <si>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</si>
  <si>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</si>
  <si>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</si>
  <si>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</si>
  <si>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</si>
  <si>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</si>
  <si>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</si>
  <si>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</si>
  <si>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</si>
  <si>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</si>
  <si>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</si>
  <si>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</si>
  <si>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</si>
  <si>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</si>
  <si>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</si>
  <si>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</si>
  <si>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</si>
  <si>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</si>
  <si>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</si>
  <si>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</si>
  <si>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</si>
  <si>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</si>
  <si>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</si>
  <si>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</si>
  <si>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</si>
  <si>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</si>
  <si>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</si>
  <si>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</si>
  <si>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</si>
  <si>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</si>
  <si>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</si>
  <si>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</si>
  <si>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</si>
  <si>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</si>
  <si>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</si>
  <si>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</si>
  <si>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</si>
  <si>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</si>
  <si>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</si>
  <si>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</si>
  <si>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</si>
  <si>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</si>
  <si>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</si>
  <si>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</si>
  <si>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</si>
  <si>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</si>
  <si>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</si>
  <si>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</si>
  <si>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</si>
  <si>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</si>
  <si>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</si>
  <si>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</si>
  <si>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</si>
  <si>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</si>
  <si>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</si>
  <si>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</si>
  <si>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</si>
  <si>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</si>
  <si>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</si>
  <si>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</si>
  <si>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</si>
  <si>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</si>
  <si>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</si>
  <si>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</si>
  <si>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</si>
  <si>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</si>
  <si>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</si>
  <si>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</si>
  <si>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</si>
  <si>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</si>
  <si>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</si>
  <si>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</si>
  <si>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</si>
  <si>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</si>
  <si>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</si>
  <si>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</si>
  <si>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</si>
  <si>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</si>
  <si>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</si>
  <si>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</si>
  <si>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</si>
  <si>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</si>
  <si>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</si>
  <si>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</si>
  <si>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</si>
  <si>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</si>
  <si>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</si>
  <si>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</si>
  <si>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</si>
  <si>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</si>
  <si>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</si>
  <si>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</si>
  <si>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</si>
  <si>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</si>
  <si>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</si>
  <si>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</si>
  <si>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</si>
  <si>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</si>
  <si>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</si>
  <si>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</si>
  <si>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</si>
  <si>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</si>
  <si>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</si>
  <si>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</si>
  <si>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</si>
  <si>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</si>
  <si>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</si>
  <si>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</si>
  <si>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</si>
  <si>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</si>
  <si>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</si>
  <si>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</si>
  <si>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</si>
  <si>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</si>
  <si>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</si>
  <si>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</si>
  <si>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</si>
  <si>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</si>
  <si>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</si>
  <si>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</si>
  <si>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</si>
  <si>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</si>
  <si>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</si>
  <si>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</si>
  <si>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</si>
  <si>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</si>
  <si>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</si>
  <si>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</si>
  <si>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</si>
  <si>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</si>
  <si>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</si>
  <si>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</si>
  <si>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</si>
  <si>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</si>
  <si>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</si>
  <si>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</si>
  <si>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</si>
  <si>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</si>
  <si>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</si>
  <si>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</si>
  <si>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</si>
  <si>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</si>
  <si>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</si>
  <si>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</si>
  <si>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</si>
  <si>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</si>
  <si>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</si>
  <si>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</si>
  <si>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</si>
  <si>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</si>
  <si>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</si>
  <si>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</si>
  <si>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</si>
  <si>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</si>
  <si>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</si>
  <si>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</si>
  <si>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</si>
  <si>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</si>
  <si>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</si>
  <si>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</si>
  <si>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</si>
  <si>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</si>
  <si>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</si>
  <si>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</si>
  <si>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</si>
  <si>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</si>
  <si>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</si>
  <si>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</si>
  <si>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</si>
  <si>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</si>
  <si>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</si>
  <si>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</si>
  <si>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</si>
  <si>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</si>
  <si>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</si>
  <si>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</si>
  <si>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</si>
  <si>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</si>
  <si>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</si>
  <si>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</si>
  <si>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</si>
  <si>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</si>
  <si>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</si>
  <si>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</si>
  <si>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</si>
  <si>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</si>
  <si>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</si>
  <si>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</si>
  <si>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</si>
  <si>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</si>
  <si>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</si>
  <si>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</si>
  <si>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</si>
  <si>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</si>
  <si>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</si>
  <si>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</si>
  <si>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</si>
  <si>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</si>
  <si>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</si>
  <si>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</si>
  <si>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</si>
  <si>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</si>
  <si>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</si>
  <si>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</si>
  <si>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</si>
  <si>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</si>
  <si>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</si>
  <si>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</si>
  <si>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</si>
  <si>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</si>
  <si>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</si>
  <si>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</si>
  <si>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</si>
  <si>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</si>
  <si>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</si>
  <si>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</si>
  <si>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</si>
  <si>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</si>
  <si>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</si>
  <si>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</si>
  <si>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</si>
  <si>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</si>
  <si>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</si>
  <si>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</si>
  <si>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</si>
  <si>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</si>
  <si>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</si>
  <si>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</si>
  <si>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</si>
  <si>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</si>
  <si>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</si>
  <si>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</si>
  <si>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</si>
  <si>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</si>
  <si>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</si>
  <si>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</si>
  <si>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</si>
  <si>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</si>
  <si>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</si>
  <si>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</si>
  <si>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</si>
  <si>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</si>
  <si>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</si>
  <si>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</si>
  <si>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</si>
  <si>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</si>
  <si>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</si>
  <si>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</si>
  <si>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</si>
  <si>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</si>
  <si>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</si>
  <si>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</si>
  <si>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</si>
  <si>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</si>
  <si>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</si>
  <si>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</si>
  <si>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</si>
  <si>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</si>
  <si>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</si>
  <si>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</si>
  <si>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</si>
  <si>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</si>
  <si>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</si>
  <si>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</si>
  <si>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</si>
  <si>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</si>
  <si>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</si>
  <si>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</si>
  <si>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</si>
  <si>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</si>
  <si>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</si>
  <si>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</si>
  <si>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</si>
  <si>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</si>
  <si>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</si>
  <si>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</si>
  <si>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</si>
  <si>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</si>
  <si>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</si>
  <si>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</si>
  <si>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</si>
  <si>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</si>
  <si>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</si>
  <si>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</si>
  <si>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</si>
  <si>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</si>
  <si>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</si>
  <si>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</si>
  <si>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</si>
  <si>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</si>
  <si>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</si>
  <si>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</si>
  <si>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</si>
  <si>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</si>
  <si>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</si>
  <si>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</si>
  <si>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</si>
  <si>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</si>
  <si>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</si>
  <si>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</si>
  <si>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</si>
  <si>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</si>
  <si>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</si>
  <si>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</si>
  <si>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</si>
  <si>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</si>
  <si>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</si>
  <si>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</si>
  <si>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</si>
  <si>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</si>
  <si>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</si>
  <si>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</si>
  <si>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</si>
  <si>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</si>
  <si>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</si>
  <si>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</si>
  <si>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</si>
  <si>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</si>
  <si>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</si>
  <si>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</si>
  <si>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</si>
  <si>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</si>
  <si>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</si>
  <si>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</si>
  <si>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</si>
  <si>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</si>
  <si>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</si>
  <si>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</si>
  <si>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</si>
  <si>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</si>
  <si>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</si>
  <si>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</si>
  <si>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</si>
  <si>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</si>
  <si>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</si>
  <si>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</si>
  <si>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</si>
  <si>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</si>
  <si>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</si>
  <si>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</si>
  <si>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</si>
  <si>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</si>
  <si>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</si>
  <si>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</si>
  <si>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</si>
  <si>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</si>
  <si>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</si>
  <si>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</si>
  <si>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</si>
  <si>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</si>
  <si>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</si>
  <si>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</si>
  <si>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</si>
  <si>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</si>
  <si>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</si>
  <si>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</si>
  <si>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</si>
  <si>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</si>
  <si>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</si>
  <si>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</si>
  <si>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</si>
  <si>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</si>
  <si>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</si>
  <si>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</si>
  <si>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</si>
  <si>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</si>
  <si>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</si>
  <si>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</si>
  <si>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</si>
  <si>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</si>
  <si>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</si>
  <si>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</si>
  <si>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</si>
  <si>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</si>
  <si>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</si>
  <si>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</si>
  <si>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</si>
  <si>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</si>
  <si>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</si>
  <si>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</si>
  <si>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</si>
  <si>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</si>
  <si>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</si>
  <si>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</si>
  <si>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</si>
  <si>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</si>
  <si>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</si>
  <si>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</si>
  <si>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</si>
  <si>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</si>
  <si>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</si>
  <si>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</si>
  <si>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</si>
  <si>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</si>
  <si>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</si>
  <si>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</si>
  <si>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</si>
  <si>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</si>
  <si>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</si>
  <si>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</si>
  <si>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</si>
  <si>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</si>
  <si>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</si>
  <si>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</si>
  <si>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</si>
  <si>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</si>
  <si>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</si>
  <si>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</si>
  <si>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</si>
  <si>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</si>
  <si>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</si>
  <si>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</si>
  <si>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</si>
  <si>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</si>
  <si>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</si>
  <si>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</si>
  <si>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</si>
  <si>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</si>
  <si>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</si>
  <si>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</si>
  <si>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</si>
  <si>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</si>
  <si>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</si>
  <si>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</si>
  <si>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</si>
  <si>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</si>
  <si>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</si>
  <si>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</si>
  <si>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</si>
  <si>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</si>
  <si>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</si>
  <si>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</si>
  <si>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</si>
  <si>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</si>
  <si>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</si>
  <si>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</si>
  <si>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</si>
  <si>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</si>
  <si>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</si>
  <si>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</si>
  <si>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</si>
  <si>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</si>
  <si>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</si>
  <si>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</si>
  <si>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</si>
  <si>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</si>
  <si>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</si>
  <si>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</si>
  <si>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</si>
  <si>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</si>
  <si>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</si>
  <si>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t>商业</t>
  </si>
  <si>
    <t>出让</t>
  </si>
  <si>
    <t>地上</t>
  </si>
  <si>
    <t>住宅</t>
    <phoneticPr fontId="7" type="noConversion"/>
  </si>
  <si>
    <t>商业</t>
    <phoneticPr fontId="7" type="noConversion"/>
  </si>
  <si>
    <t>序号</t>
    <phoneticPr fontId="3" type="noConversion"/>
  </si>
  <si>
    <t>省会市名称</t>
  </si>
  <si>
    <t>建筑型式</t>
  </si>
  <si>
    <t>说明</t>
  </si>
  <si>
    <t>多层</t>
  </si>
  <si>
    <t>小高层</t>
  </si>
  <si>
    <t>高层</t>
  </si>
  <si>
    <t>南京</t>
  </si>
  <si>
    <t>经营</t>
    <phoneticPr fontId="3" type="noConversion"/>
  </si>
  <si>
    <t>非经营</t>
    <phoneticPr fontId="3" type="noConversion"/>
  </si>
  <si>
    <t>工程进度</t>
  </si>
  <si>
    <t>比较法-住宅、综合</t>
  </si>
  <si>
    <t>剩余法-待开发</t>
  </si>
  <si>
    <t>地块名称</t>
  </si>
  <si>
    <t>地块编号</t>
  </si>
  <si>
    <t>城市</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</si>
  <si>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</si>
  <si>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</si>
  <si>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</si>
  <si>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</si>
  <si>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</si>
  <si>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</si>
  <si>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</si>
  <si>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</si>
  <si>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</si>
  <si>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</si>
  <si>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</si>
  <si>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</si>
  <si>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</si>
  <si>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</si>
  <si>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</si>
  <si>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</si>
  <si>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</si>
  <si>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</si>
  <si>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</si>
  <si>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</si>
  <si>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</si>
  <si>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</si>
  <si>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</si>
  <si>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</si>
  <si>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</si>
  <si>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</si>
  <si>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</si>
  <si>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</si>
  <si>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</si>
  <si>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</si>
  <si>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</si>
  <si>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</si>
  <si>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</si>
  <si>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</si>
  <si>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</si>
  <si>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</si>
  <si>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</si>
  <si>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</si>
  <si>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</si>
  <si>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</si>
  <si>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南通市</t>
  </si>
  <si>
    <t xml:space="preserve">      海安市</t>
  </si>
  <si>
    <t xml:space="preserve">      曲塘镇曲塘村</t>
  </si>
  <si>
    <t xml:space="preserve">      住宅用地</t>
  </si>
  <si>
    <t xml:space="preserve">--      </t>
  </si>
  <si>
    <t xml:space="preserve">     -- </t>
  </si>
  <si>
    <t xml:space="preserve">      ≤25%</t>
  </si>
  <si>
    <t xml:space="preserve">      ≤60</t>
  </si>
  <si>
    <t xml:space="preserve">      --</t>
  </si>
  <si>
    <t xml:space="preserve">      海安市网挂[2021]027号</t>
  </si>
  <si>
    <t xml:space="preserve">      已成交</t>
  </si>
  <si>
    <t xml:space="preserve">      70年</t>
  </si>
  <si>
    <t xml:space="preserve">      李堡镇李西村1、6组</t>
  </si>
  <si>
    <t xml:space="preserve">      海安市网挂[2021]021号</t>
  </si>
  <si>
    <t xml:space="preserve">大公镇王院村20组    </t>
  </si>
  <si>
    <t xml:space="preserve">      大公镇王院村20组</t>
  </si>
  <si>
    <t xml:space="preserve">      小于或等于35</t>
  </si>
  <si>
    <t xml:space="preserve">      海安市网挂[2021]001号</t>
  </si>
  <si>
    <t xml:space="preserve">大公镇贲巷村25组    </t>
  </si>
  <si>
    <t xml:space="preserve">      大公镇贲巷村25组</t>
  </si>
  <si>
    <t xml:space="preserve">曲塘镇    </t>
  </si>
  <si>
    <t xml:space="preserve">      曲塘镇</t>
  </si>
  <si>
    <t xml:space="preserve">曲塘镇胡庄村    </t>
  </si>
  <si>
    <t xml:space="preserve">      曲塘镇胡庄村</t>
  </si>
  <si>
    <t xml:space="preserve">黄海大道北侧、通榆路西侧    </t>
  </si>
  <si>
    <t xml:space="preserve">      黄海大道北侧、通榆路西侧</t>
  </si>
  <si>
    <t xml:space="preserve">      海安市网挂[2020]053号</t>
  </si>
  <si>
    <t xml:space="preserve">大公镇古贲村2组    </t>
  </si>
  <si>
    <t xml:space="preserve">      大公镇古贲村2组</t>
  </si>
  <si>
    <t xml:space="preserve">      ≤35%</t>
  </si>
  <si>
    <t xml:space="preserve">      海安市网挂[2020]051号</t>
  </si>
  <si>
    <t xml:space="preserve">大公镇北凌村6组    </t>
  </si>
  <si>
    <t xml:space="preserve">      大公镇北凌村6组</t>
  </si>
  <si>
    <t xml:space="preserve">李堡镇    </t>
  </si>
  <si>
    <t xml:space="preserve">      李堡镇</t>
  </si>
  <si>
    <t xml:space="preserve">      海安市网挂[2020]047号</t>
  </si>
  <si>
    <t xml:space="preserve">滨海新区金港大道北侧    </t>
  </si>
  <si>
    <t xml:space="preserve">      滨海新区金港大道北侧</t>
  </si>
  <si>
    <t xml:space="preserve">      海安市网挂[2020]044号</t>
  </si>
  <si>
    <t xml:space="preserve">大公镇贲巷村3组、10组    </t>
  </si>
  <si>
    <t xml:space="preserve">      大公镇贲巷村3组、10组</t>
  </si>
  <si>
    <t xml:space="preserve">      海安市网挂[2020]043号</t>
  </si>
  <si>
    <t xml:space="preserve">凤山路西侧、江海东路北侧    </t>
  </si>
  <si>
    <t xml:space="preserve">      凤山路西侧、江海东路北侧</t>
  </si>
  <si>
    <t xml:space="preserve">      海安市网挂[2020]040号</t>
  </si>
  <si>
    <t xml:space="preserve">宁海路东侧、江海东路北侧    </t>
  </si>
  <si>
    <t xml:space="preserve">      宁海路东侧、江海东路北侧</t>
  </si>
  <si>
    <t xml:space="preserve">开元大道东侧、黄海路南侧    </t>
  </si>
  <si>
    <t xml:space="preserve">      开元大道东侧、黄海路南侧</t>
  </si>
  <si>
    <t xml:space="preserve">      海安市网挂[2020]038号</t>
  </si>
  <si>
    <t xml:space="preserve">角斜镇海港村中心组    </t>
  </si>
  <si>
    <t xml:space="preserve">      角斜镇海港村中心组</t>
  </si>
  <si>
    <t xml:space="preserve">      海安市网挂[2020]039号</t>
  </si>
  <si>
    <t xml:space="preserve">江海西路北侧、如海河景观大道东侧    </t>
  </si>
  <si>
    <t xml:space="preserve">      江海西路北侧、如海河景观大道东侧</t>
  </si>
  <si>
    <t xml:space="preserve">      海安市网挂[2020]036号</t>
  </si>
  <si>
    <t xml:space="preserve">新通扬运河北侧、丹凤路东侧    </t>
  </si>
  <si>
    <t xml:space="preserve">      新通扬运河北侧、丹凤路东侧</t>
  </si>
  <si>
    <t xml:space="preserve">      海安市网挂[2020]032号</t>
  </si>
  <si>
    <t xml:space="preserve">东海大道南侧、宁海南路东侧    </t>
  </si>
  <si>
    <t xml:space="preserve">      东海大道南侧、宁海南路东侧</t>
  </si>
  <si>
    <t xml:space="preserve">      海安市网挂[2020]033号</t>
  </si>
  <si>
    <t xml:space="preserve">新通扬运河北侧、朝阳路东侧    </t>
  </si>
  <si>
    <t xml:space="preserve">      新通扬运河北侧、朝阳路东侧</t>
  </si>
  <si>
    <t xml:space="preserve">龙江河东侧、东洲路西侧    </t>
  </si>
  <si>
    <t xml:space="preserve">      龙江河东侧、东洲路西侧</t>
  </si>
  <si>
    <t xml:space="preserve">通榆北路西侧    </t>
  </si>
  <si>
    <t xml:space="preserve">      通榆北路西侧</t>
  </si>
  <si>
    <t xml:space="preserve">串场河西侧、广福路北侧    </t>
  </si>
  <si>
    <t xml:space="preserve">      串场河西侧、广福路北侧</t>
  </si>
  <si>
    <t xml:space="preserve">李堡镇李堡村5组    </t>
  </si>
  <si>
    <t xml:space="preserve">      李堡镇李堡村5组</t>
  </si>
  <si>
    <t xml:space="preserve">      海安市网挂[2020]031号</t>
  </si>
  <si>
    <t xml:space="preserve">李堡镇李西村1组、6组    </t>
  </si>
  <si>
    <t xml:space="preserve">      李堡镇李西村1组、6组</t>
  </si>
  <si>
    <t xml:space="preserve">李堡镇杨庄村4组、5组    </t>
  </si>
  <si>
    <t xml:space="preserve">      李堡镇杨庄村4组、5组</t>
  </si>
  <si>
    <t xml:space="preserve">李堡镇李西村2组    </t>
  </si>
  <si>
    <t xml:space="preserve">      李堡镇李西村2组</t>
  </si>
  <si>
    <t xml:space="preserve">安平路、永安南路交汇处东南侧    </t>
  </si>
  <si>
    <t xml:space="preserve">      安平路、永安南路交汇处东南侧</t>
  </si>
  <si>
    <t xml:space="preserve">      小于或等于28</t>
  </si>
  <si>
    <t xml:space="preserve">      海安市网挂[2020]028号</t>
  </si>
  <si>
    <t xml:space="preserve">安平路、海南路交汇处东南侧    </t>
  </si>
  <si>
    <t xml:space="preserve">      安平路、海南路交汇处东南侧</t>
  </si>
  <si>
    <t xml:space="preserve">南莫镇兴南村3组、13组、14组    </t>
  </si>
  <si>
    <t xml:space="preserve">      南莫镇兴南村3组、13组、14组</t>
  </si>
  <si>
    <t xml:space="preserve">      海安市网挂[2020]027号</t>
  </si>
  <si>
    <t xml:space="preserve">黄海大道北侧、通扬河西侧    </t>
  </si>
  <si>
    <t xml:space="preserve">      黄海大道北侧、通扬河西侧</t>
  </si>
  <si>
    <t xml:space="preserve">      海安市网挂[2020]026号</t>
  </si>
  <si>
    <t xml:space="preserve">黄海大道北侧、星湖001东侧    </t>
  </si>
  <si>
    <t xml:space="preserve">      黄海大道北侧、星湖001东侧</t>
  </si>
  <si>
    <t xml:space="preserve">园庄村七组    </t>
  </si>
  <si>
    <t xml:space="preserve">      园庄村七组</t>
  </si>
  <si>
    <t xml:space="preserve">      海安市网挂[2020]022号</t>
  </si>
  <si>
    <t xml:space="preserve">园庄村六组    </t>
  </si>
  <si>
    <t xml:space="preserve">      园庄村六组</t>
  </si>
  <si>
    <t xml:space="preserve">海防路北侧、天发路东侧    </t>
  </si>
  <si>
    <t xml:space="preserve">      海防路北侧、天发路东侧</t>
  </si>
  <si>
    <t xml:space="preserve">      小于或等于30</t>
  </si>
  <si>
    <t xml:space="preserve">      海安市网挂[2020]018号</t>
  </si>
  <si>
    <t xml:space="preserve">滨海新区    </t>
  </si>
  <si>
    <t xml:space="preserve">      滨海新区</t>
  </si>
  <si>
    <t xml:space="preserve">      海安市网挂[2020]016号</t>
  </si>
  <si>
    <t xml:space="preserve">白甸镇白甸村14、23组    </t>
  </si>
  <si>
    <t xml:space="preserve">      白甸镇白甸村14、23组</t>
  </si>
  <si>
    <t xml:space="preserve">      海安市网挂[2020]015号</t>
  </si>
  <si>
    <t xml:space="preserve">安泰路南侧、洋港河西侧    </t>
  </si>
  <si>
    <t xml:space="preserve">      安泰路南侧、洋港河西侧</t>
  </si>
  <si>
    <t xml:space="preserve">      海安市网挂[2020]014号</t>
  </si>
  <si>
    <t xml:space="preserve">东洲路东侧、人才路南侧    </t>
  </si>
  <si>
    <t xml:space="preserve">      东洲路东侧、人才路南侧</t>
  </si>
  <si>
    <t xml:space="preserve">      海安市网挂[2020]013号</t>
  </si>
  <si>
    <t xml:space="preserve">曲塘镇刘圩村32、33组    </t>
  </si>
  <si>
    <t xml:space="preserve">      曲塘镇刘圩村32、33组</t>
  </si>
  <si>
    <t xml:space="preserve">      海安市网挂[2020]012号</t>
  </si>
  <si>
    <t xml:space="preserve">曲塘镇胡庄村29组    </t>
  </si>
  <si>
    <t xml:space="preserve">      曲塘镇胡庄村29组</t>
  </si>
  <si>
    <t xml:space="preserve">      小于或等于40</t>
  </si>
  <si>
    <t xml:space="preserve">      海安市自然资源局国有建设用地使用权挂牌出让公告</t>
  </si>
  <si>
    <t xml:space="preserve">      海安市</t>
    <phoneticPr fontId="225" type="noConversion"/>
  </si>
  <si>
    <t xml:space="preserve">墩头镇长垎村2组    </t>
  </si>
  <si>
    <t xml:space="preserve">      墩头镇长垎村2组</t>
  </si>
  <si>
    <t xml:space="preserve">墩头镇新舍村41组    </t>
  </si>
  <si>
    <t xml:space="preserve">      墩头镇新舍村41组</t>
  </si>
  <si>
    <t xml:space="preserve">园庄村5组    </t>
  </si>
  <si>
    <t xml:space="preserve">      园庄村5组</t>
  </si>
  <si>
    <t xml:space="preserve">李堡镇李西村5组    </t>
  </si>
  <si>
    <t xml:space="preserve">      李堡镇李西村5组</t>
  </si>
  <si>
    <t xml:space="preserve">      小于或等于25</t>
  </si>
  <si>
    <t xml:space="preserve">李堡镇李西村4、5组    </t>
  </si>
  <si>
    <t xml:space="preserve">      李堡镇李西村4、5组</t>
  </si>
  <si>
    <t xml:space="preserve">李堡镇李西村12组、13组、17组、18组    </t>
  </si>
  <si>
    <t xml:space="preserve">      李堡镇李西村12组、13组、17组、18组</t>
  </si>
  <si>
    <t xml:space="preserve">广场南路南侧、小焦港河东侧    </t>
  </si>
  <si>
    <t xml:space="preserve">      广场南路南侧、小焦港河东侧</t>
  </si>
  <si>
    <t xml:space="preserve">广场南路南侧    </t>
  </si>
  <si>
    <t xml:space="preserve">      广场南路南侧</t>
  </si>
  <si>
    <t xml:space="preserve">园庄村4、14组    </t>
  </si>
  <si>
    <t xml:space="preserve">      园庄村4、14组</t>
  </si>
  <si>
    <t xml:space="preserve">园庄村4、5组    </t>
  </si>
  <si>
    <t xml:space="preserve">      园庄村4、5组</t>
  </si>
  <si>
    <t xml:space="preserve">园庄村14组    </t>
  </si>
  <si>
    <t xml:space="preserve">      园庄村14组</t>
  </si>
  <si>
    <t xml:space="preserve">黄河路南侧、丹凤路西侧    </t>
  </si>
  <si>
    <t xml:space="preserve">      黄河路南侧、丹凤路西侧</t>
  </si>
  <si>
    <t xml:space="preserve">白甸镇傅舍村6组    </t>
  </si>
  <si>
    <t xml:space="preserve">      白甸镇傅舍村6组</t>
  </si>
  <si>
    <t xml:space="preserve">墩头镇新海村    </t>
  </si>
  <si>
    <t xml:space="preserve">      墩头镇新海村</t>
  </si>
  <si>
    <t xml:space="preserve">李堡镇富庄村16组    </t>
  </si>
  <si>
    <t xml:space="preserve">      李堡镇富庄村16组</t>
  </si>
  <si>
    <t xml:space="preserve">白甸镇白甸村14组    </t>
  </si>
  <si>
    <t xml:space="preserve">      白甸镇白甸村14组</t>
  </si>
  <si>
    <t xml:space="preserve">刘缺村8组    </t>
  </si>
  <si>
    <t xml:space="preserve">      刘缺村8组</t>
  </si>
  <si>
    <t xml:space="preserve">刘缺村7、8组    </t>
  </si>
  <si>
    <t xml:space="preserve">      刘缺村7、8组</t>
  </si>
  <si>
    <t xml:space="preserve">五坝村12组、凤山村13组    </t>
  </si>
  <si>
    <t xml:space="preserve">      五坝村12组、凤山村13组</t>
  </si>
  <si>
    <t xml:space="preserve">五坝村12组    </t>
  </si>
  <si>
    <t xml:space="preserve">      五坝村12组</t>
  </si>
  <si>
    <t xml:space="preserve">老通扬运河南侧、如海运河西侧    </t>
  </si>
  <si>
    <t xml:space="preserve">      老通扬运河南侧、如海运河西侧</t>
  </si>
  <si>
    <t xml:space="preserve">      海安市网挂[2019]054号</t>
  </si>
  <si>
    <t xml:space="preserve">曲塘镇曲塘村13组    </t>
  </si>
  <si>
    <t xml:space="preserve">      曲塘镇曲塘村13组</t>
  </si>
  <si>
    <t xml:space="preserve">中坝南路东侧、文晶雅居南侧    </t>
  </si>
  <si>
    <t xml:space="preserve">      中坝南路东侧、文晶雅居南侧</t>
  </si>
  <si>
    <t xml:space="preserve">      小于或等于48</t>
  </si>
  <si>
    <t xml:space="preserve">上湖大道东侧,南湖大道南侧    </t>
  </si>
  <si>
    <t xml:space="preserve">      上湖大道东侧,南湖大道南侧</t>
  </si>
  <si>
    <t xml:space="preserve">      建筑密度≤28.0%</t>
  </si>
  <si>
    <t xml:space="preserve">      海安市网挂[2019]050号</t>
  </si>
  <si>
    <t xml:space="preserve">万星路西侧、广场南路北侧    </t>
  </si>
  <si>
    <t xml:space="preserve">      万星路西侧、广场南路北侧</t>
  </si>
  <si>
    <t xml:space="preserve">墩头镇吉庆村    </t>
  </si>
  <si>
    <t xml:space="preserve">      墩头镇吉庆村</t>
  </si>
  <si>
    <t xml:space="preserve">墩头镇杜楼村    </t>
  </si>
  <si>
    <t xml:space="preserve">      墩头镇杜楼村</t>
  </si>
  <si>
    <t xml:space="preserve">河滨路南侧、新安路西侧(港龙中南·翰林首府西侧)    </t>
  </si>
  <si>
    <t xml:space="preserve">      河滨路南侧、新安路西侧(港龙中南·翰林首府西侧)</t>
  </si>
  <si>
    <t xml:space="preserve">      等于21.53</t>
  </si>
  <si>
    <t xml:space="preserve">墩头镇原海安国营砖瓦厂区域    </t>
  </si>
  <si>
    <t xml:space="preserve">      墩头镇原海安国营砖瓦厂区域</t>
  </si>
  <si>
    <t xml:space="preserve">曲塘镇中心北街4号    </t>
  </si>
  <si>
    <t xml:space="preserve">      曲塘镇中心北街4号</t>
  </si>
  <si>
    <t xml:space="preserve">曲塘镇(曲塘商场地块)    </t>
  </si>
  <si>
    <t xml:space="preserve">      曲塘镇(曲塘商场地块)</t>
  </si>
  <si>
    <t xml:space="preserve">      ≤35.0%</t>
  </si>
  <si>
    <t xml:space="preserve">      海安市网挂[2019]027号-1</t>
  </si>
  <si>
    <t xml:space="preserve">曲塘镇(原煤球厂)    </t>
  </si>
  <si>
    <t xml:space="preserve">      曲塘镇(原煤球厂)</t>
  </si>
  <si>
    <t xml:space="preserve">      海安市网挂[2019]027号-2</t>
  </si>
  <si>
    <t xml:space="preserve">上湖创新区上湖大道东侧、南海大道北侧    </t>
  </si>
  <si>
    <t xml:space="preserve">      上湖创新区上湖大道东侧、南海大道北侧</t>
  </si>
  <si>
    <t xml:space="preserve">      ≤28%</t>
  </si>
  <si>
    <t xml:space="preserve">      海安市网挂[2019]026号</t>
  </si>
  <si>
    <t xml:space="preserve">滨海新区金港大道北侧、临港路东侧    </t>
  </si>
  <si>
    <t xml:space="preserve">      滨海新区金港大道北侧、临港路东侧</t>
  </si>
  <si>
    <t xml:space="preserve">      海安市网挂[2019]025号</t>
  </si>
  <si>
    <t xml:space="preserve">南莫镇兴南村10组    </t>
  </si>
  <si>
    <t xml:space="preserve">      南莫镇兴南村10组</t>
  </si>
  <si>
    <t xml:space="preserve">      海国土网挂[2019]017号-2</t>
  </si>
  <si>
    <t xml:space="preserve">南莫镇唐庄村21组    </t>
  </si>
  <si>
    <t xml:space="preserve">      南莫镇唐庄村21组</t>
  </si>
  <si>
    <t xml:space="preserve">      海国土网挂[2019]017号-1</t>
  </si>
  <si>
    <t xml:space="preserve">      海国土网挂[2019]016号-2</t>
  </si>
  <si>
    <t xml:space="preserve">      海国土网挂[2019]015号</t>
  </si>
  <si>
    <t xml:space="preserve">大公镇古贲村1组    </t>
  </si>
  <si>
    <t xml:space="preserve">      大公镇古贲村1组</t>
  </si>
  <si>
    <t xml:space="preserve">      ≤30%</t>
  </si>
  <si>
    <t xml:space="preserve">      海国土网挂[2019]014号-3</t>
  </si>
  <si>
    <t xml:space="preserve">大公镇贲集村30组    </t>
  </si>
  <si>
    <t xml:space="preserve">      大公镇贲集村30组</t>
  </si>
  <si>
    <t xml:space="preserve">      海国土网挂[2019]014号-2</t>
  </si>
  <si>
    <t xml:space="preserve">大公镇贲巷村17、18组    </t>
  </si>
  <si>
    <t xml:space="preserve">      大公镇贲巷村17、18组</t>
  </si>
  <si>
    <t xml:space="preserve">      海国土网挂[2019]014号-1</t>
  </si>
  <si>
    <t xml:space="preserve">      海国土网挂[2019]014号-4</t>
  </si>
  <si>
    <t xml:space="preserve">白甸镇白甸村12组、周垛薛舍1组    </t>
  </si>
  <si>
    <t xml:space="preserve">      白甸镇白甸村12组、周垛薛舍1组</t>
  </si>
  <si>
    <t xml:space="preserve">      海国土网挂[2019]013号-2</t>
  </si>
  <si>
    <t xml:space="preserve">白甸镇白甸村8组    </t>
  </si>
  <si>
    <t xml:space="preserve">      白甸镇白甸村8组</t>
  </si>
  <si>
    <t xml:space="preserve">      海国土网挂[2019]013号-1</t>
  </si>
  <si>
    <t xml:space="preserve">新通扬河北生态区北部C3区域    </t>
  </si>
  <si>
    <t xml:space="preserve">      新通扬河北生态区北部C3区域</t>
  </si>
  <si>
    <t xml:space="preserve">      海国土网挂[2019]011号</t>
  </si>
  <si>
    <t xml:space="preserve">海安开发区迎宾路西侧、文萃路南侧地块    </t>
  </si>
  <si>
    <t xml:space="preserve">      海安开发区迎宾路西侧、文萃路南侧地块</t>
  </si>
  <si>
    <t xml:space="preserve">      ≤40%</t>
  </si>
  <si>
    <t xml:space="preserve">      海国土网挂[2019]009号</t>
  </si>
  <si>
    <t xml:space="preserve">镇南路东侧、红光河南侧(二里驾校区域)    </t>
  </si>
  <si>
    <t xml:space="preserve">      镇南路东侧、红光河南侧(二里驾校区域)</t>
  </si>
  <si>
    <t xml:space="preserve">      海国土网挂[2019]005号</t>
  </si>
  <si>
    <t xml:space="preserve">李堡镇红旗村22组    </t>
  </si>
  <si>
    <t xml:space="preserve">      李堡镇红旗村22组</t>
  </si>
  <si>
    <t xml:space="preserve">      海国土网挂[2019]003号-1</t>
  </si>
  <si>
    <t xml:space="preserve">李堡镇李西村9组    </t>
  </si>
  <si>
    <t xml:space="preserve">      李堡镇李西村9组</t>
  </si>
  <si>
    <t xml:space="preserve">      海国土网挂[2019]003号-2</t>
  </si>
  <si>
    <t xml:space="preserve">      海国土网挂[2018]039号-8</t>
  </si>
  <si>
    <t xml:space="preserve">      海国土网挂[2018]039号-5</t>
  </si>
  <si>
    <t xml:space="preserve">      海国土网挂[2018]038号-5</t>
  </si>
  <si>
    <t xml:space="preserve">海安高新区永安北路东侧、人民西路南侧    </t>
  </si>
  <si>
    <t xml:space="preserve">      海安高新区永安北路东侧、人民西路南侧</t>
  </si>
  <si>
    <t xml:space="preserve">      海国土网挂[2018]037号</t>
  </si>
  <si>
    <t xml:space="preserve">      海国土网挂[2018]039号-2</t>
  </si>
  <si>
    <t xml:space="preserve">      海国土网挂[2018]038号-4</t>
  </si>
  <si>
    <t xml:space="preserve">      海国土网挂[2018]038号-3</t>
  </si>
  <si>
    <t xml:space="preserve">      海国土网挂[2018]039号-4</t>
  </si>
  <si>
    <t xml:space="preserve">      海国土网挂[2018]039号-1</t>
  </si>
  <si>
    <t xml:space="preserve">      海国土网挂[2018]039号-3</t>
  </si>
  <si>
    <t xml:space="preserve">      海国土网挂[2018]034号-1</t>
  </si>
  <si>
    <t xml:space="preserve">墩头镇墩头村    </t>
  </si>
  <si>
    <t xml:space="preserve">      墩头镇墩头村</t>
  </si>
  <si>
    <t xml:space="preserve">      海国土网挂[2018]034号-3</t>
  </si>
  <si>
    <t xml:space="preserve">海安高新区河滨东路南侧、新安路    </t>
  </si>
  <si>
    <t xml:space="preserve">      海安高新区河滨东路南侧、新安路</t>
  </si>
  <si>
    <t xml:space="preserve">      海国土网挂[2018]036号</t>
  </si>
  <si>
    <t xml:space="preserve">      海国土网挂[2018]039号-7</t>
  </si>
  <si>
    <t xml:space="preserve">      海国土网挂[2018]038号-2</t>
  </si>
  <si>
    <t xml:space="preserve">新通扬河北生态区北部C2区域    </t>
  </si>
  <si>
    <t xml:space="preserve">      新通扬河北生态区北部C2区域</t>
  </si>
  <si>
    <t xml:space="preserve">      海国土网挂[2018]032号-1</t>
  </si>
  <si>
    <t xml:space="preserve">      海国土网挂[2018]032号-2</t>
  </si>
  <si>
    <t xml:space="preserve">      海国土网挂[2018]032号-3</t>
  </si>
  <si>
    <t xml:space="preserve">李堡镇杨庄村2组    </t>
  </si>
  <si>
    <t xml:space="preserve">      李堡镇杨庄村2组</t>
  </si>
  <si>
    <t xml:space="preserve">      海国土网挂[2018]031号-1</t>
  </si>
  <si>
    <t xml:space="preserve">李堡镇富庄村14组    </t>
  </si>
  <si>
    <t xml:space="preserve">      李堡镇富庄村14组</t>
  </si>
  <si>
    <t xml:space="preserve">      海国土网挂[2018]031号-4</t>
  </si>
  <si>
    <t xml:space="preserve">李堡镇富庄村13、14、15、16组    </t>
  </si>
  <si>
    <t xml:space="preserve">      李堡镇富庄村13、14、15、16组</t>
  </si>
  <si>
    <t xml:space="preserve">      海国土网挂[2018]031号-5</t>
  </si>
  <si>
    <t xml:space="preserve">李堡镇李堡村9组    </t>
  </si>
  <si>
    <t xml:space="preserve">      李堡镇李堡村9组</t>
  </si>
  <si>
    <t xml:space="preserve">      海国土网挂[2018]031号-3</t>
  </si>
  <si>
    <t xml:space="preserve">      海国土网挂[2018]031号-2</t>
  </si>
  <si>
    <t xml:space="preserve">      海国土网挂[2018]030号-1</t>
  </si>
  <si>
    <t xml:space="preserve">      海国土网挂[2018]030号-3</t>
  </si>
  <si>
    <t xml:space="preserve">      海国土网挂[2018]030号-5</t>
  </si>
  <si>
    <t xml:space="preserve">      海国土网挂[2018]030号-6</t>
  </si>
  <si>
    <t xml:space="preserve">      海国土网挂[2018]030号-2</t>
  </si>
  <si>
    <t xml:space="preserve">      海国土网挂[2018]030号-4</t>
  </si>
  <si>
    <t xml:space="preserve">      海国土网挂[2018]029号-3</t>
  </si>
  <si>
    <t xml:space="preserve">海安市平桥村18组    </t>
  </si>
  <si>
    <t xml:space="preserve">      海安市平桥村18组</t>
  </si>
  <si>
    <t xml:space="preserve">      海国土网挂[2018]029号-10</t>
  </si>
  <si>
    <t xml:space="preserve">      海国土网挂[2018]029号-8</t>
  </si>
  <si>
    <t xml:space="preserve">海安市南屏村5、21组    </t>
  </si>
  <si>
    <t xml:space="preserve">      海安市南屏村5、21组</t>
  </si>
  <si>
    <t xml:space="preserve">      海国土网挂[2018]029号-2</t>
  </si>
  <si>
    <t xml:space="preserve">      海国土网挂[2018]029号-6</t>
  </si>
  <si>
    <t xml:space="preserve">      海国土网挂[2018]029号-7</t>
  </si>
  <si>
    <t xml:space="preserve">海安市平桥村16、18组    </t>
  </si>
  <si>
    <t xml:space="preserve">      海安市平桥村16、18组</t>
  </si>
  <si>
    <t xml:space="preserve">      海国土网挂[2018]029号-11</t>
  </si>
  <si>
    <t xml:space="preserve">海安市平桥村15组    </t>
  </si>
  <si>
    <t xml:space="preserve">      海安市平桥村15组</t>
  </si>
  <si>
    <t xml:space="preserve">      海国土网挂[2018]029号-12</t>
  </si>
  <si>
    <t xml:space="preserve">      海国土网挂[2018]029号-4</t>
  </si>
  <si>
    <t xml:space="preserve">海安市新华西路28号    </t>
  </si>
  <si>
    <t xml:space="preserve">      海安市新华西路28号</t>
  </si>
  <si>
    <t xml:space="preserve">      海国土网挂[2018]029号-1</t>
  </si>
  <si>
    <t>曲塘</t>
  </si>
  <si>
    <t>≥1,≤2.3</t>
  </si>
  <si>
    <t>挂牌</t>
  </si>
  <si>
    <t>城镇住宅-经济适用住房</t>
  </si>
  <si>
    <t>江苏曲水园城镇化建设投资有限公司</t>
  </si>
  <si>
    <t>李堡</t>
  </si>
  <si>
    <t>≥1,≤1.8</t>
  </si>
  <si>
    <t>城镇住宅-普通商品住房</t>
  </si>
  <si>
    <t>海安保障性住房投建设有限公司</t>
  </si>
  <si>
    <t>大公</t>
  </si>
  <si>
    <t>大于1并且小于或等于3</t>
  </si>
  <si>
    <t>城镇住宅-普通商品住房用地</t>
  </si>
  <si>
    <t>江苏大鼎城镇化建设投资有限公司</t>
  </si>
  <si>
    <t>城东</t>
  </si>
  <si>
    <t>大于1并且小于或等于1.8</t>
  </si>
  <si>
    <t>海安中洲房地产开发有限公司</t>
  </si>
  <si>
    <t>中洲置业</t>
  </si>
  <si>
    <t>&gt;1.0,≤3.2</t>
  </si>
  <si>
    <t>商住/城镇住宅-普通商品住房</t>
  </si>
  <si>
    <t>&gt;1.0,≤1.4</t>
  </si>
  <si>
    <t>住宅/城镇住宅-普通商品住房</t>
  </si>
  <si>
    <t>何凯</t>
  </si>
  <si>
    <t>老坝港</t>
  </si>
  <si>
    <t>大于1并且小于或等于1.5</t>
  </si>
  <si>
    <t>江苏广纳房地产开发有限公司</t>
  </si>
  <si>
    <t>徐伟</t>
  </si>
  <si>
    <t>海安</t>
  </si>
  <si>
    <t>大于1并且小于或等于2</t>
  </si>
  <si>
    <t>无锡绿城和风置业有限公司南通天扬置业有限公司</t>
  </si>
  <si>
    <t>绿城中国</t>
  </si>
  <si>
    <t>南通中南新世界中心开发有限公司</t>
  </si>
  <si>
    <t>中南建设</t>
  </si>
  <si>
    <t>大于1并且小于或等于2.2</t>
  </si>
  <si>
    <t>苏州旭泽商务咨询有限公司</t>
  </si>
  <si>
    <t>蓝光发展</t>
  </si>
  <si>
    <t>南通明群置业有限公司</t>
  </si>
  <si>
    <t>南通盛华置业有限公司</t>
  </si>
  <si>
    <t>南通光大置业有限公司</t>
  </si>
  <si>
    <t>大于1并且小于或等于2.5</t>
  </si>
  <si>
    <t>海安城市动迁改造有限公司</t>
  </si>
  <si>
    <t>大于1并且小于或等于2.4</t>
  </si>
  <si>
    <t>南通久和房地产开发有限公司</t>
  </si>
  <si>
    <t>南通久和地产</t>
  </si>
  <si>
    <t>海安城市动迁改造</t>
  </si>
  <si>
    <t>大于1并且小于或等于3.2</t>
  </si>
  <si>
    <t>海安东泽城镇建设投资有限公司</t>
  </si>
  <si>
    <t>大于1并且小于或等于2.6</t>
  </si>
  <si>
    <t>南莫</t>
  </si>
  <si>
    <t>城镇住宅用地</t>
  </si>
  <si>
    <t>海安市青墩旅游开发有限公司</t>
  </si>
  <si>
    <t>江苏龙信置业有限公司</t>
  </si>
  <si>
    <t>龙信房地产</t>
  </si>
  <si>
    <t>大于1并且小于或等于1.9</t>
  </si>
  <si>
    <t>海安城镇建设投资有限公司</t>
  </si>
  <si>
    <t>南通金北实业有限公司</t>
  </si>
  <si>
    <t>栟茶</t>
  </si>
  <si>
    <t>海安市城建开发投资集团有限公司</t>
  </si>
  <si>
    <t>海安城建集团</t>
  </si>
  <si>
    <t>白甸</t>
  </si>
  <si>
    <t>江苏甸湖城镇化建设投资有限公司</t>
  </si>
  <si>
    <t>恒旺投资控股有限公司</t>
  </si>
  <si>
    <t>大于1并且小于或等于1.4</t>
  </si>
  <si>
    <t>南通市碧桂园房地产开发有限公司</t>
  </si>
  <si>
    <t>碧桂园</t>
  </si>
  <si>
    <t>江苏曲水园城镇建投</t>
  </si>
  <si>
    <t>江苏老坝港沿海开发有限公司</t>
  </si>
  <si>
    <t>老坝港开发</t>
  </si>
  <si>
    <t>墩头</t>
  </si>
  <si>
    <t>大于1并且小于或等于2.8</t>
  </si>
  <si>
    <t>江苏兴墩城镇化建设投资有限公司</t>
  </si>
  <si>
    <t>江苏海穗工业园区发展有限公司</t>
  </si>
  <si>
    <t>南通杰之运置业有限公司</t>
  </si>
  <si>
    <t>南通杰之运置业</t>
  </si>
  <si>
    <t>大于1并且小于或等于2.1</t>
  </si>
  <si>
    <t>南通欣利置业有限公司</t>
  </si>
  <si>
    <t>昌达控股</t>
  </si>
  <si>
    <t>江苏海穗工业园区发展集团有限公司</t>
  </si>
  <si>
    <t>南通明烨房地产开发有限公司</t>
  </si>
  <si>
    <t>大于1并且小于或等于1.7</t>
  </si>
  <si>
    <t>南通南建新城开发有限公司</t>
  </si>
  <si>
    <t>南通恒杰实业有限公司</t>
  </si>
  <si>
    <t>江苏海安商贸物流集团有限公司</t>
  </si>
  <si>
    <t>1.0&lt;容积率≤3.0</t>
  </si>
  <si>
    <t>海安开发区建投</t>
  </si>
  <si>
    <t>大于1并且小于或等于2.9</t>
  </si>
  <si>
    <t>江苏曲水圆城镇化建设投资有限公司</t>
  </si>
  <si>
    <t>大于1并且小于或等于1.1</t>
  </si>
  <si>
    <t>南通润达置业有限公司</t>
  </si>
  <si>
    <t>1.0&lt;容积率≤2.5</t>
  </si>
  <si>
    <t>江苏中洲置业有限公司</t>
  </si>
  <si>
    <t>等于2.506</t>
  </si>
  <si>
    <t>中南建设,昌达控股</t>
  </si>
  <si>
    <t>大于1并且小于或等于1.3</t>
  </si>
  <si>
    <t>南通乐百年置业有限公司</t>
  </si>
  <si>
    <t>南通新朗置业发展有限公司</t>
  </si>
  <si>
    <t>大于1并且小于或等于3.3</t>
  </si>
  <si>
    <t>≥1.0,≤3.2</t>
  </si>
  <si>
    <t>&gt;1,≤2.8</t>
  </si>
  <si>
    <t>昆山创和置业有限公司</t>
  </si>
  <si>
    <t>&gt;1,≤1.1</t>
  </si>
  <si>
    <t>&gt;1,≤3</t>
  </si>
  <si>
    <t>海安嘉海房地产开发有限公司</t>
  </si>
  <si>
    <t>&gt;1,≤2.2</t>
  </si>
  <si>
    <t>&gt;1,≤1.4</t>
  </si>
  <si>
    <t>海安县港发房地产开发有限公司</t>
  </si>
  <si>
    <t>&gt;1,≤3.2</t>
  </si>
  <si>
    <t>海安保障性住房投资建设有限公司</t>
  </si>
  <si>
    <t>&gt;1,≤4.5</t>
  </si>
  <si>
    <t>海安奇乐置业有限公司</t>
  </si>
  <si>
    <t>其他普通商品住房用地</t>
  </si>
  <si>
    <t>陈旭东</t>
  </si>
  <si>
    <t>海安新港投资集团有限公司</t>
  </si>
  <si>
    <t>&gt;1,≤1.7</t>
  </si>
  <si>
    <t>南通金石置业有限公司</t>
  </si>
  <si>
    <t>&gt;1,≤2.6</t>
  </si>
  <si>
    <t>江苏港瑞置业有限公司</t>
  </si>
  <si>
    <t>&gt;1,≤2.5</t>
  </si>
  <si>
    <t>海安市保障性住房投资建设有限公司</t>
  </si>
  <si>
    <t>江苏瑞海控股</t>
  </si>
  <si>
    <t>大东农场</t>
  </si>
  <si>
    <t>老城</t>
  </si>
  <si>
    <t>&gt;1,≤3.3</t>
  </si>
  <si>
    <t>海门盐场</t>
  </si>
  <si>
    <t>白甸</t>
    <phoneticPr fontId="225" type="noConversion"/>
  </si>
  <si>
    <t>栟茶</t>
    <phoneticPr fontId="225" type="noConversion"/>
  </si>
  <si>
    <t xml:space="preserve">大公镇贲巷村25组    </t>
    <phoneticPr fontId="225" type="noConversion"/>
  </si>
  <si>
    <t>墩头</t>
    <phoneticPr fontId="225" type="noConversion"/>
  </si>
  <si>
    <t>老坝港</t>
    <phoneticPr fontId="225" type="noConversion"/>
  </si>
  <si>
    <t>李堡</t>
    <phoneticPr fontId="225" type="noConversion"/>
  </si>
  <si>
    <t>南莫</t>
    <phoneticPr fontId="225" type="noConversion"/>
  </si>
  <si>
    <t>正常</t>
  </si>
  <si>
    <t>楼面地价</t>
  </si>
  <si>
    <t>一般</t>
  </si>
  <si>
    <t>商业占比5%</t>
    <phoneticPr fontId="225" type="noConversion"/>
  </si>
  <si>
    <t>商业占比</t>
    <phoneticPr fontId="26" type="noConversion"/>
  </si>
  <si>
    <t>利息：取LPR加浮动点数</t>
  </si>
  <si>
    <r>
      <t>20%</t>
    </r>
    <r>
      <rPr>
        <sz val="11"/>
        <color indexed="8"/>
        <rFont val="宋体"/>
        <family val="3"/>
        <charset val="134"/>
      </rPr>
      <t>以内</t>
    </r>
    <phoneticPr fontId="26" type="noConversion"/>
  </si>
  <si>
    <r>
      <t>20%</t>
    </r>
    <r>
      <rPr>
        <sz val="11"/>
        <color indexed="8"/>
        <rFont val="宋体"/>
        <family val="3"/>
        <charset val="134"/>
      </rPr>
      <t>（含）以上</t>
    </r>
    <phoneticPr fontId="26"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</si>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</sst>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00B050"/>
        <bgColor indexed="64"/>
      </patternFill>
    </fill>
    <fill>
      <patternFill patternType="solid">
        <fgColor theme="7"/>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2" fillId="0" borderId="0"/>
    <xf numFmtId="0" fontId="1" fillId="0" borderId="0">
      <alignment vertical="center"/>
    </xf>
    <xf numFmtId="0" fontId="277" fillId="0" borderId="0"/>
  </cellStyleXfs>
  <cellXfs count="36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8" fontId="142" fillId="5" borderId="6" xfId="3" applyNumberFormat="1" applyFill="1" applyBorder="1" applyAlignment="1" applyProtection="1">
      <alignment horizontal="center" vertical="center"/>
    </xf>
    <xf numFmtId="178" fontId="142" fillId="5" borderId="29" xfId="3" applyNumberFormat="1" applyFill="1" applyBorder="1" applyAlignment="1" applyProtection="1">
      <alignment horizontal="center" vertical="center"/>
    </xf>
    <xf numFmtId="178"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8" fontId="142" fillId="5" borderId="2" xfId="3" applyNumberFormat="1" applyFill="1" applyBorder="1" applyAlignment="1" applyProtection="1">
      <alignment horizontal="center" vertical="center"/>
    </xf>
    <xf numFmtId="178" fontId="142" fillId="5" borderId="5" xfId="3" applyNumberFormat="1" applyFill="1" applyBorder="1" applyAlignment="1" applyProtection="1">
      <alignment horizontal="center" vertical="center"/>
    </xf>
    <xf numFmtId="178"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8" fontId="142" fillId="5" borderId="45" xfId="3" applyNumberFormat="1" applyFill="1" applyBorder="1" applyAlignment="1" applyProtection="1">
      <alignment horizontal="center" vertical="center"/>
    </xf>
    <xf numFmtId="178" fontId="142" fillId="5" borderId="44" xfId="3" applyNumberFormat="1" applyFill="1" applyBorder="1" applyAlignment="1" applyProtection="1">
      <alignment horizontal="center" vertical="center"/>
    </xf>
    <xf numFmtId="178"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127" fillId="0" borderId="2" xfId="2" applyNumberFormat="1" applyFont="1" applyFill="1" applyBorder="1" applyAlignment="1" applyProtection="1">
      <alignment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7"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7"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7"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7"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4"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2" borderId="120" xfId="13" applyNumberFormat="1" applyFont="1" applyFill="1" applyBorder="1" applyAlignment="1" applyProtection="1">
      <alignment horizontal="left" vertical="center" wrapText="1"/>
    </xf>
    <xf numFmtId="184" fontId="154" fillId="12"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4" fontId="154" fillId="12" borderId="120" xfId="13" applyNumberFormat="1" applyFont="1" applyFill="1" applyBorder="1" applyAlignment="1">
      <alignment horizontal="left" vertical="center" wrapText="1"/>
    </xf>
    <xf numFmtId="184"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2" borderId="120" xfId="10" applyNumberFormat="1" applyFont="1" applyFill="1" applyBorder="1" applyAlignment="1">
      <alignment horizontal="left" vertical="center" wrapText="1"/>
    </xf>
    <xf numFmtId="184"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4" fontId="154" fillId="12" borderId="124" xfId="10" applyNumberFormat="1" applyFont="1" applyFill="1" applyBorder="1" applyAlignment="1">
      <alignment horizontal="left" vertical="center" wrapText="1"/>
    </xf>
    <xf numFmtId="184"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2" borderId="130" xfId="10" applyNumberFormat="1" applyFont="1" applyFill="1" applyBorder="1" applyAlignment="1">
      <alignment horizontal="left" vertical="center" wrapText="1"/>
    </xf>
    <xf numFmtId="184" fontId="154" fillId="12" borderId="134" xfId="10" applyNumberFormat="1" applyFont="1" applyFill="1" applyBorder="1" applyAlignment="1">
      <alignment horizontal="left" vertical="center" wrapText="1"/>
    </xf>
    <xf numFmtId="184" fontId="149" fillId="14"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1" fontId="80" fillId="17"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1"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0"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3"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79"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79"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79"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79" fontId="150" fillId="13" borderId="0" xfId="0" applyNumberFormat="1" applyFont="1" applyFill="1" applyAlignment="1" applyProtection="1">
      <alignment vertical="center"/>
    </xf>
    <xf numFmtId="181"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6"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7" fontId="81" fillId="13" borderId="0" xfId="0" applyNumberFormat="1" applyFont="1" applyFill="1" applyAlignment="1" applyProtection="1">
      <alignment horizontal="center" vertical="center"/>
      <protection locked="0"/>
    </xf>
    <xf numFmtId="187"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7"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6"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20"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0" fontId="131" fillId="0" borderId="2" xfId="0" applyFont="1" applyFill="1" applyBorder="1" applyAlignment="1" applyProtection="1">
      <alignment horizontal="center" vertical="top" wrapText="1"/>
      <protection locked="0"/>
    </xf>
    <xf numFmtId="0" fontId="131" fillId="0" borderId="5" xfId="0" applyFont="1" applyFill="1"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79" fillId="0" borderId="157" xfId="0" applyFont="1" applyFill="1" applyBorder="1" applyAlignment="1" applyProtection="1">
      <alignment horizontal="center" vertical="top" wrapText="1"/>
      <protection locked="0"/>
    </xf>
    <xf numFmtId="0" fontId="79" fillId="0" borderId="158" xfId="0" applyNumberFormat="1" applyFont="1" applyFill="1" applyBorder="1" applyAlignment="1" applyProtection="1">
      <alignment horizontal="center" vertical="top" wrapText="1"/>
      <protection locked="0"/>
    </xf>
    <xf numFmtId="0" fontId="79" fillId="0" borderId="159" xfId="0" applyNumberFormat="1" applyFont="1" applyFill="1" applyBorder="1" applyAlignment="1" applyProtection="1">
      <alignment horizontal="center" vertical="top" wrapText="1"/>
      <protection locked="0"/>
    </xf>
    <xf numFmtId="0" fontId="79" fillId="13" borderId="0" xfId="0" applyFont="1" applyFill="1" applyAlignment="1" applyProtection="1">
      <alignment horizontal="center" vertical="center"/>
      <protection locked="0"/>
    </xf>
    <xf numFmtId="176" fontId="73" fillId="13" borderId="0" xfId="0" applyNumberFormat="1" applyFont="1" applyFill="1" applyAlignment="1" applyProtection="1">
      <alignment horizontal="center" vertical="center"/>
      <protection locked="0"/>
    </xf>
    <xf numFmtId="0" fontId="0" fillId="21" borderId="0" xfId="0" applyFill="1">
      <alignment vertical="center"/>
    </xf>
    <xf numFmtId="177" fontId="68" fillId="0" borderId="2" xfId="0" applyNumberFormat="1" applyFont="1" applyFill="1" applyBorder="1" applyAlignment="1" applyProtection="1">
      <alignment horizontal="center" vertical="center" wrapText="1"/>
      <protection locked="0"/>
    </xf>
    <xf numFmtId="0" fontId="142" fillId="22" borderId="0" xfId="0" applyFont="1" applyFill="1">
      <alignment vertical="center"/>
    </xf>
    <xf numFmtId="0" fontId="130" fillId="8" borderId="63" xfId="0" applyFont="1" applyFill="1" applyBorder="1" applyAlignment="1" applyProtection="1">
      <alignment horizontal="left" vertical="center" wrapText="1"/>
      <protection locked="0"/>
    </xf>
    <xf numFmtId="181" fontId="73" fillId="18" borderId="12" xfId="0" applyNumberFormat="1" applyFont="1" applyFill="1" applyBorder="1" applyAlignment="1" applyProtection="1">
      <alignment horizontal="center" vertical="center"/>
      <protection locked="0"/>
    </xf>
    <xf numFmtId="9" fontId="73" fillId="18" borderId="5" xfId="0" applyNumberFormat="1" applyFont="1" applyFill="1" applyBorder="1" applyAlignment="1" applyProtection="1">
      <alignment horizontal="center" vertical="center"/>
      <protection locked="0"/>
    </xf>
    <xf numFmtId="0" fontId="142" fillId="0" borderId="0" xfId="0" applyFont="1" applyFill="1">
      <alignment vertical="center"/>
    </xf>
    <xf numFmtId="10" fontId="73" fillId="13" borderId="0" xfId="0" applyNumberFormat="1" applyFont="1" applyFill="1" applyAlignment="1" applyProtection="1">
      <alignment vertical="center"/>
      <protection locked="0"/>
    </xf>
    <xf numFmtId="0" fontId="143" fillId="22" borderId="0" xfId="0" applyFont="1" applyFill="1">
      <alignment vertical="center"/>
    </xf>
    <xf numFmtId="0" fontId="143" fillId="23" borderId="0" xfId="0" applyFont="1" applyFill="1">
      <alignment vertical="center"/>
    </xf>
    <xf numFmtId="0" fontId="143" fillId="0" borderId="0" xfId="0" applyFont="1">
      <alignment vertical="center"/>
    </xf>
    <xf numFmtId="0" fontId="143" fillId="0" borderId="0" xfId="0" applyFont="1" applyFill="1">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0" fillId="0" borderId="2" xfId="0" applyBorder="1" applyAlignment="1" applyProtection="1">
      <alignment vertical="top" wrapText="1"/>
      <protection locked="0"/>
    </xf>
    <xf numFmtId="0" fontId="124" fillId="0" borderId="2" xfId="0" applyFont="1" applyBorder="1" applyAlignment="1" applyProtection="1">
      <alignment horizontal="center" vertical="top" wrapText="1"/>
      <protection locked="0"/>
    </xf>
    <xf numFmtId="0" fontId="131" fillId="0" borderId="10" xfId="0" applyFont="1" applyFill="1" applyBorder="1" applyAlignment="1" applyProtection="1">
      <alignment horizontal="center" vertical="top" wrapText="1"/>
      <protection locked="0"/>
    </xf>
    <xf numFmtId="0" fontId="131" fillId="0" borderId="21" xfId="0" applyFont="1" applyFill="1" applyBorder="1" applyAlignment="1" applyProtection="1">
      <alignment horizontal="center" vertical="top" wrapText="1"/>
      <protection locked="0"/>
    </xf>
    <xf numFmtId="0" fontId="131" fillId="0" borderId="2" xfId="0" applyFont="1" applyFill="1" applyBorder="1" applyAlignment="1" applyProtection="1">
      <alignment horizontal="center" vertical="top" wrapText="1"/>
      <protection locked="0"/>
    </xf>
    <xf numFmtId="0" fontId="131" fillId="0" borderId="5" xfId="0" applyFont="1" applyFill="1" applyBorder="1" applyAlignment="1" applyProtection="1">
      <alignment horizontal="center" vertical="top" wrapText="1"/>
      <protection locked="0"/>
    </xf>
    <xf numFmtId="0" fontId="131" fillId="0" borderId="2" xfId="0" applyFont="1" applyFill="1" applyBorder="1" applyAlignment="1" applyProtection="1">
      <alignment vertical="top" wrapText="1"/>
      <protection locked="0"/>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4"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77" fillId="0" borderId="0" xfId="16" applyNumberFormat="1"/>
    <xf numFmtId="0" fontId="277" fillId="21" borderId="0" xfId="16" applyNumberFormat="1" applyFill="1"/>
    <xf numFmtId="14" fontId="277" fillId="0" borderId="0" xfId="16" applyNumberFormat="1"/>
    <xf numFmtId="14" fontId="277" fillId="21" borderId="0" xfId="16" applyNumberFormat="1" applyFill="1"/>
    <xf numFmtId="0" fontId="177" fillId="0" borderId="0" xfId="16" applyNumberFormat="1" applyFont="1"/>
    <xf numFmtId="14" fontId="177" fillId="0" borderId="0" xfId="16" applyNumberFormat="1" applyFont="1"/>
    <xf numFmtId="0" fontId="269" fillId="23" borderId="0" xfId="16" applyNumberFormat="1" applyFont="1" applyFill="1"/>
    <xf numFmtId="14" fontId="269" fillId="23" borderId="0" xfId="16" applyNumberFormat="1" applyFont="1" applyFill="1"/>
    <xf numFmtId="0" fontId="269" fillId="22" borderId="0" xfId="16" applyNumberFormat="1" applyFont="1" applyFill="1"/>
    <xf numFmtId="14" fontId="269" fillId="22" borderId="0" xfId="16" applyNumberFormat="1" applyFont="1" applyFill="1"/>
    <xf numFmtId="0" fontId="177" fillId="22" borderId="0" xfId="16" applyNumberFormat="1" applyFont="1" applyFill="1"/>
    <xf numFmtId="14" fontId="177" fillId="22" borderId="0" xfId="16" applyNumberFormat="1" applyFont="1" applyFill="1"/>
    <xf numFmtId="0" fontId="177" fillId="0" borderId="0" xfId="16" applyNumberFormat="1" applyFont="1" applyFill="1"/>
    <xf numFmtId="14" fontId="177" fillId="0" borderId="0" xfId="16" applyNumberFormat="1" applyFont="1" applyFill="1"/>
    <xf numFmtId="0" fontId="269" fillId="0" borderId="0" xfId="16" applyNumberFormat="1" applyFont="1"/>
    <xf numFmtId="14" fontId="269" fillId="0" borderId="0" xfId="16" applyNumberFormat="1" applyFont="1"/>
    <xf numFmtId="0" fontId="269" fillId="0" borderId="0" xfId="16" applyNumberFormat="1" applyFont="1" applyFill="1"/>
    <xf numFmtId="14" fontId="269" fillId="0" borderId="0" xfId="16" applyNumberFormat="1" applyFont="1" applyFill="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38100</xdr:rowOff>
    </xdr:from>
    <xdr:to>
      <xdr:col>19</xdr:col>
      <xdr:colOff>19050</xdr:colOff>
      <xdr:row>41</xdr:row>
      <xdr:rowOff>0</xdr:rowOff>
    </xdr:to>
    <xdr:grpSp>
      <xdr:nvGrpSpPr>
        <xdr:cNvPr id="20" name="组合 19"/>
        <xdr:cNvGrpSpPr/>
      </xdr:nvGrpSpPr>
      <xdr:grpSpPr>
        <a:xfrm>
          <a:off x="209550" y="38100"/>
          <a:ext cx="12839700" cy="6991350"/>
          <a:chOff x="209550" y="38100"/>
          <a:chExt cx="12839700" cy="6991350"/>
        </a:xfrm>
      </xdr:grpSpPr>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5"/>
            <a:ext cx="8715375" cy="56292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椭圆 3"/>
          <xdr:cNvSpPr/>
        </xdr:nvSpPr>
        <xdr:spPr>
          <a:xfrm>
            <a:off x="1428750" y="5334000"/>
            <a:ext cx="352425" cy="35242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5" name="矩形标注 4"/>
          <xdr:cNvSpPr/>
        </xdr:nvSpPr>
        <xdr:spPr>
          <a:xfrm>
            <a:off x="209550" y="3228975"/>
            <a:ext cx="2304000" cy="581025"/>
          </a:xfrm>
          <a:prstGeom prst="wedgeRectCallout">
            <a:avLst>
              <a:gd name="adj1" fmla="val 137488"/>
              <a:gd name="adj2" fmla="val -8832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R2</a:t>
            </a:r>
          </a:p>
          <a:p>
            <a:pPr algn="l"/>
            <a:r>
              <a:rPr lang="en-US" altLang="zh-CN" sz="1100">
                <a:solidFill>
                  <a:sysClr val="windowText" lastClr="000000"/>
                </a:solidFill>
              </a:rPr>
              <a:t>6049</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806</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37.82%</a:t>
            </a:r>
          </a:p>
        </xdr:txBody>
      </xdr:sp>
      <xdr:sp macro="" textlink="">
        <xdr:nvSpPr>
          <xdr:cNvPr id="6" name="矩形标注 5"/>
          <xdr:cNvSpPr/>
        </xdr:nvSpPr>
        <xdr:spPr>
          <a:xfrm>
            <a:off x="209550" y="3857625"/>
            <a:ext cx="2304000" cy="647700"/>
          </a:xfrm>
          <a:prstGeom prst="wedgeRectCallout">
            <a:avLst>
              <a:gd name="adj1" fmla="val 176048"/>
              <a:gd name="adj2" fmla="val -7554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2020-10</a:t>
            </a:r>
            <a:r>
              <a:rPr lang="zh-CN" altLang="en-US" sz="1100">
                <a:solidFill>
                  <a:sysClr val="windowText" lastClr="000000"/>
                </a:solidFill>
              </a:rPr>
              <a:t>，</a:t>
            </a:r>
            <a:r>
              <a:rPr lang="en-US" altLang="zh-CN" sz="1100">
                <a:solidFill>
                  <a:sysClr val="windowText" lastClr="000000"/>
                </a:solidFill>
              </a:rPr>
              <a:t>R2.6</a:t>
            </a:r>
          </a:p>
          <a:p>
            <a:pPr algn="l"/>
            <a:r>
              <a:rPr lang="en-US" altLang="zh-CN" sz="1100">
                <a:solidFill>
                  <a:sysClr val="windowText" lastClr="000000"/>
                </a:solidFill>
              </a:rPr>
              <a:t>610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105</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0.00%</a:t>
            </a:r>
          </a:p>
          <a:p>
            <a:pPr algn="l"/>
            <a:r>
              <a:rPr lang="en-US" altLang="zh-CN" sz="1100">
                <a:solidFill>
                  <a:sysClr val="windowText" lastClr="000000"/>
                </a:solidFill>
              </a:rPr>
              <a:t>637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110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0.00%</a:t>
            </a:r>
          </a:p>
        </xdr:txBody>
      </xdr:sp>
      <xdr:sp macro="" textlink="">
        <xdr:nvSpPr>
          <xdr:cNvPr id="8" name="矩形标注 7"/>
          <xdr:cNvSpPr/>
        </xdr:nvSpPr>
        <xdr:spPr>
          <a:xfrm>
            <a:off x="209550" y="4543425"/>
            <a:ext cx="2304000" cy="666750"/>
          </a:xfrm>
          <a:prstGeom prst="wedgeRectCallout">
            <a:avLst>
              <a:gd name="adj1" fmla="val 113354"/>
              <a:gd name="adj2" fmla="val -4478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R2.2</a:t>
            </a:r>
          </a:p>
          <a:p>
            <a:pPr algn="l"/>
            <a:r>
              <a:rPr lang="en-US" altLang="zh-CN" sz="1100">
                <a:solidFill>
                  <a:sysClr val="windowText" lastClr="000000"/>
                </a:solidFill>
              </a:rPr>
              <a:t>4927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722</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64.24%</a:t>
            </a:r>
          </a:p>
          <a:p>
            <a:pPr algn="l"/>
            <a:r>
              <a:rPr lang="zh-CN" altLang="en-US" sz="1100" b="1">
                <a:solidFill>
                  <a:srgbClr val="FF0000"/>
                </a:solidFill>
              </a:rPr>
              <a:t>雍锦翰棠：毛坯</a:t>
            </a:r>
            <a:r>
              <a:rPr lang="en-US" altLang="zh-CN" sz="1100" b="1">
                <a:solidFill>
                  <a:srgbClr val="FF0000"/>
                </a:solidFill>
              </a:rPr>
              <a:t>11500</a:t>
            </a:r>
          </a:p>
        </xdr:txBody>
      </xdr:sp>
      <xdr:sp macro="" textlink="">
        <xdr:nvSpPr>
          <xdr:cNvPr id="9" name="矩形标注 8"/>
          <xdr:cNvSpPr/>
        </xdr:nvSpPr>
        <xdr:spPr>
          <a:xfrm>
            <a:off x="8534400" y="5372100"/>
            <a:ext cx="2304000" cy="676275"/>
          </a:xfrm>
          <a:prstGeom prst="wedgeRectCallout">
            <a:avLst>
              <a:gd name="adj1" fmla="val -86323"/>
              <a:gd name="adj2" fmla="val -21612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2020-10</a:t>
            </a:r>
            <a:r>
              <a:rPr lang="zh-CN" altLang="en-US" sz="1100">
                <a:solidFill>
                  <a:sysClr val="windowText" lastClr="000000"/>
                </a:solidFill>
              </a:rPr>
              <a:t>，</a:t>
            </a:r>
            <a:r>
              <a:rPr lang="en-US" altLang="zh-CN" sz="1100">
                <a:solidFill>
                  <a:sysClr val="windowText" lastClr="000000"/>
                </a:solidFill>
              </a:rPr>
              <a:t>R2.4</a:t>
            </a:r>
          </a:p>
          <a:p>
            <a:pPr algn="l"/>
            <a:r>
              <a:rPr lang="en-US" altLang="zh-CN" sz="1100">
                <a:solidFill>
                  <a:sysClr val="windowText" lastClr="000000"/>
                </a:solidFill>
              </a:rPr>
              <a:t>3483</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557</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43.89%</a:t>
            </a:r>
          </a:p>
          <a:p>
            <a:pPr algn="l"/>
            <a:r>
              <a:rPr lang="zh-CN" altLang="en-US" sz="1100" b="1">
                <a:solidFill>
                  <a:srgbClr val="FF0000"/>
                </a:solidFill>
              </a:rPr>
              <a:t>君望澜庭：装修</a:t>
            </a:r>
            <a:r>
              <a:rPr lang="en-US" altLang="zh-CN" sz="1100" b="1">
                <a:solidFill>
                  <a:srgbClr val="FF0000"/>
                </a:solidFill>
              </a:rPr>
              <a:t>11500</a:t>
            </a:r>
          </a:p>
        </xdr:txBody>
      </xdr:sp>
      <xdr:sp macro="" textlink="">
        <xdr:nvSpPr>
          <xdr:cNvPr id="10" name="矩形标注 9"/>
          <xdr:cNvSpPr/>
        </xdr:nvSpPr>
        <xdr:spPr>
          <a:xfrm>
            <a:off x="4752975" y="4362448"/>
            <a:ext cx="2304000" cy="2667002"/>
          </a:xfrm>
          <a:prstGeom prst="wedgeRectCallout">
            <a:avLst>
              <a:gd name="adj1" fmla="val 18269"/>
              <a:gd name="adj2" fmla="val -6109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2021-06</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7867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944</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10.63%</a:t>
            </a:r>
          </a:p>
          <a:p>
            <a:pPr algn="l"/>
            <a:r>
              <a:rPr lang="zh-CN" altLang="en-US" sz="1100">
                <a:solidFill>
                  <a:sysClr val="windowText" lastClr="000000"/>
                </a:solidFill>
              </a:rPr>
              <a:t>商业占比</a:t>
            </a:r>
            <a:r>
              <a:rPr lang="en-US" altLang="zh-CN" sz="1100">
                <a:solidFill>
                  <a:sysClr val="windowText" lastClr="000000"/>
                </a:solidFill>
              </a:rPr>
              <a:t>20%</a:t>
            </a:r>
            <a:r>
              <a:rPr lang="zh-CN" altLang="en-US" sz="1100">
                <a:solidFill>
                  <a:sysClr val="windowText" lastClr="000000"/>
                </a:solidFill>
              </a:rPr>
              <a:t>，其中</a:t>
            </a:r>
            <a:r>
              <a:rPr lang="en-US" altLang="zh-CN" sz="1100">
                <a:solidFill>
                  <a:sysClr val="windowText" lastClr="000000"/>
                </a:solidFill>
              </a:rPr>
              <a:t>5%</a:t>
            </a:r>
            <a:r>
              <a:rPr lang="zh-CN" altLang="en-US" sz="1100">
                <a:solidFill>
                  <a:sysClr val="windowText" lastClr="000000"/>
                </a:solidFill>
              </a:rPr>
              <a:t>自持</a:t>
            </a:r>
            <a:r>
              <a:rPr lang="en-US" altLang="zh-CN" sz="1100">
                <a:solidFill>
                  <a:sysClr val="windowText" lastClr="000000"/>
                </a:solidFill>
              </a:rPr>
              <a:t>6</a:t>
            </a:r>
            <a:r>
              <a:rPr lang="zh-CN" altLang="en-US" sz="1100">
                <a:solidFill>
                  <a:sysClr val="windowText" lastClr="000000"/>
                </a:solidFill>
              </a:rPr>
              <a:t>年，商业特殊建设要求</a:t>
            </a:r>
          </a:p>
          <a:p>
            <a:pPr algn="l"/>
            <a:r>
              <a:rPr lang="zh-CN" altLang="en-US" sz="1100">
                <a:solidFill>
                  <a:sysClr val="windowText" lastClr="000000"/>
                </a:solidFill>
              </a:rPr>
              <a:t> </a:t>
            </a:r>
          </a:p>
          <a:p>
            <a:pPr algn="l"/>
            <a:r>
              <a:rPr lang="en-US" altLang="zh-CN" sz="1100">
                <a:solidFill>
                  <a:sysClr val="windowText" lastClr="000000"/>
                </a:solidFill>
              </a:rPr>
              <a:t>2020-02</a:t>
            </a:r>
            <a:r>
              <a:rPr lang="zh-CN" altLang="en-US" sz="1100">
                <a:solidFill>
                  <a:sysClr val="windowText" lastClr="000000"/>
                </a:solidFill>
              </a:rPr>
              <a:t>，</a:t>
            </a:r>
            <a:r>
              <a:rPr lang="en-US" altLang="zh-CN" sz="1100">
                <a:solidFill>
                  <a:sysClr val="windowText" lastClr="000000"/>
                </a:solidFill>
              </a:rPr>
              <a:t>R2.2</a:t>
            </a:r>
          </a:p>
          <a:p>
            <a:pPr algn="l"/>
            <a:r>
              <a:rPr lang="en-US" altLang="zh-CN" sz="1100">
                <a:solidFill>
                  <a:sysClr val="windowText" lastClr="000000"/>
                </a:solidFill>
              </a:rPr>
              <a:t>5386</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790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58%</a:t>
            </a:r>
          </a:p>
          <a:p>
            <a:pPr algn="l"/>
            <a:r>
              <a:rPr lang="en-US" altLang="zh-CN" sz="1100">
                <a:solidFill>
                  <a:sysClr val="windowText" lastClr="000000"/>
                </a:solidFill>
              </a:rPr>
              <a:t/>
            </a:r>
            <a:br>
              <a:rPr lang="en-US" altLang="zh-CN" sz="1100">
                <a:solidFill>
                  <a:sysClr val="windowText" lastClr="000000"/>
                </a:solidFill>
              </a:rPr>
            </a:br>
            <a:r>
              <a:rPr lang="en-US" altLang="zh-CN" sz="1100">
                <a:solidFill>
                  <a:sysClr val="windowText" lastClr="000000"/>
                </a:solidFill>
              </a:rPr>
              <a:t>2020-02</a:t>
            </a:r>
            <a:r>
              <a:rPr lang="zh-CN" altLang="en-US" sz="1100">
                <a:solidFill>
                  <a:sysClr val="windowText" lastClr="000000"/>
                </a:solidFill>
              </a:rPr>
              <a:t>，</a:t>
            </a:r>
            <a:r>
              <a:rPr lang="en-US" altLang="zh-CN" sz="1100">
                <a:solidFill>
                  <a:sysClr val="windowText" lastClr="000000"/>
                </a:solidFill>
              </a:rPr>
              <a:t>R2.1</a:t>
            </a:r>
          </a:p>
          <a:p>
            <a:pPr algn="l"/>
            <a:r>
              <a:rPr lang="en-US" altLang="zh-CN" sz="1100">
                <a:solidFill>
                  <a:sysClr val="windowText" lastClr="000000"/>
                </a:solidFill>
              </a:rPr>
              <a:t>5510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771</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60.69%</a:t>
            </a:r>
          </a:p>
          <a:p>
            <a:pPr algn="l"/>
            <a:endParaRPr lang="en-US" altLang="zh-CN" sz="1100">
              <a:solidFill>
                <a:sysClr val="windowText" lastClr="000000"/>
              </a:solidFill>
            </a:endParaRPr>
          </a:p>
          <a:p>
            <a:pPr algn="l"/>
            <a:r>
              <a:rPr lang="en-US" altLang="zh-CN" sz="1100">
                <a:solidFill>
                  <a:sysClr val="windowText" lastClr="000000"/>
                </a:solidFill>
              </a:rPr>
              <a:t>2020-06</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4694</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563</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14.97%</a:t>
            </a:r>
          </a:p>
          <a:p>
            <a:pPr algn="l"/>
            <a:r>
              <a:rPr lang="zh-CN" altLang="en-US" sz="1100">
                <a:solidFill>
                  <a:sysClr val="windowText" lastClr="000000"/>
                </a:solidFill>
              </a:rPr>
              <a:t>回购</a:t>
            </a:r>
            <a:r>
              <a:rPr lang="en-US" altLang="zh-CN" sz="1100">
                <a:solidFill>
                  <a:sysClr val="windowText" lastClr="000000"/>
                </a:solidFill>
              </a:rPr>
              <a:t>25%</a:t>
            </a:r>
            <a:r>
              <a:rPr lang="zh-CN" altLang="en-US" sz="1100">
                <a:solidFill>
                  <a:sysClr val="windowText" lastClr="000000"/>
                </a:solidFill>
              </a:rPr>
              <a:t>，回购价</a:t>
            </a:r>
            <a:r>
              <a:rPr lang="en-US" altLang="zh-CN" sz="1100">
                <a:solidFill>
                  <a:sysClr val="windowText" lastClr="000000"/>
                </a:solidFill>
              </a:rPr>
              <a:t>4600</a:t>
            </a:r>
            <a:r>
              <a:rPr lang="zh-CN" altLang="en-US" sz="1100">
                <a:solidFill>
                  <a:sysClr val="windowText" lastClr="000000"/>
                </a:solidFill>
              </a:rPr>
              <a:t>元</a:t>
            </a:r>
            <a:r>
              <a:rPr lang="en-US" altLang="zh-CN" sz="1100">
                <a:solidFill>
                  <a:sysClr val="windowText" lastClr="000000"/>
                </a:solidFill>
              </a:rPr>
              <a:t>/㎡</a:t>
            </a:r>
          </a:p>
          <a:p>
            <a:pPr algn="l"/>
            <a:endParaRPr lang="en-US" altLang="zh-CN" sz="1100">
              <a:solidFill>
                <a:sysClr val="windowText" lastClr="000000"/>
              </a:solidFill>
            </a:endParaRPr>
          </a:p>
        </xdr:txBody>
      </xdr:sp>
      <xdr:sp macro="" textlink="">
        <xdr:nvSpPr>
          <xdr:cNvPr id="11" name="矩形标注 10"/>
          <xdr:cNvSpPr/>
        </xdr:nvSpPr>
        <xdr:spPr>
          <a:xfrm>
            <a:off x="8562975" y="4714875"/>
            <a:ext cx="2304000" cy="581025"/>
          </a:xfrm>
          <a:prstGeom prst="wedgeRectCallout">
            <a:avLst>
              <a:gd name="adj1" fmla="val -129731"/>
              <a:gd name="adj2" fmla="val -29323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2021-04</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5297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635</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xdr:txBody>
      </xdr:sp>
      <xdr:sp macro="" textlink="">
        <xdr:nvSpPr>
          <xdr:cNvPr id="12" name="矩形标注 11"/>
          <xdr:cNvSpPr/>
        </xdr:nvSpPr>
        <xdr:spPr>
          <a:xfrm>
            <a:off x="8562975" y="3743326"/>
            <a:ext cx="2304000" cy="876300"/>
          </a:xfrm>
          <a:prstGeom prst="wedgeRectCallout">
            <a:avLst>
              <a:gd name="adj1" fmla="val -106167"/>
              <a:gd name="adj2" fmla="val -13796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2021-01</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7478</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897</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12.17%</a:t>
            </a:r>
          </a:p>
          <a:p>
            <a:pPr algn="l"/>
            <a:r>
              <a:rPr lang="zh-CN" altLang="en-US" sz="1100">
                <a:solidFill>
                  <a:sysClr val="windowText" lastClr="000000"/>
                </a:solidFill>
              </a:rPr>
              <a:t>商业占比</a:t>
            </a:r>
            <a:r>
              <a:rPr lang="en-US" altLang="zh-CN" sz="1100">
                <a:solidFill>
                  <a:sysClr val="windowText" lastClr="000000"/>
                </a:solidFill>
              </a:rPr>
              <a:t>20%</a:t>
            </a:r>
            <a:r>
              <a:rPr lang="zh-CN" altLang="en-US" sz="1100">
                <a:solidFill>
                  <a:sysClr val="windowText" lastClr="000000"/>
                </a:solidFill>
              </a:rPr>
              <a:t>，其中</a:t>
            </a:r>
            <a:r>
              <a:rPr lang="en-US" altLang="zh-CN" sz="1100">
                <a:solidFill>
                  <a:sysClr val="windowText" lastClr="000000"/>
                </a:solidFill>
              </a:rPr>
              <a:t>15%</a:t>
            </a:r>
            <a:r>
              <a:rPr lang="zh-CN" altLang="en-US" sz="1100">
                <a:solidFill>
                  <a:sysClr val="windowText" lastClr="000000"/>
                </a:solidFill>
              </a:rPr>
              <a:t>需引入金融企业</a:t>
            </a:r>
          </a:p>
        </xdr:txBody>
      </xdr:sp>
      <xdr:sp macro="" textlink="">
        <xdr:nvSpPr>
          <xdr:cNvPr id="13" name="矩形标注 12"/>
          <xdr:cNvSpPr/>
        </xdr:nvSpPr>
        <xdr:spPr>
          <a:xfrm>
            <a:off x="8553450" y="981075"/>
            <a:ext cx="2304000" cy="2676525"/>
          </a:xfrm>
          <a:prstGeom prst="wedgeRectCallout">
            <a:avLst>
              <a:gd name="adj1" fmla="val -52424"/>
              <a:gd name="adj2" fmla="val 9746"/>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2021-10</a:t>
            </a:r>
            <a:r>
              <a:rPr lang="zh-CN" altLang="en-US" sz="1100">
                <a:solidFill>
                  <a:sysClr val="windowText" lastClr="000000"/>
                </a:solidFill>
              </a:rPr>
              <a:t>，</a:t>
            </a:r>
            <a:r>
              <a:rPr lang="en-US" altLang="zh-CN" sz="1100">
                <a:solidFill>
                  <a:sysClr val="windowText" lastClr="000000"/>
                </a:solidFill>
              </a:rPr>
              <a:t>R1.5</a:t>
            </a:r>
          </a:p>
          <a:p>
            <a:pPr algn="l"/>
            <a:r>
              <a:rPr lang="en-US" altLang="zh-CN" sz="1100">
                <a:solidFill>
                  <a:sysClr val="windowText" lastClr="000000"/>
                </a:solidFill>
              </a:rPr>
              <a:t>7307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730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a:p>
            <a:pPr algn="l"/>
            <a:r>
              <a:rPr lang="en-US" altLang="zh-CN" sz="1100">
                <a:solidFill>
                  <a:sysClr val="windowText" lastClr="000000"/>
                </a:solidFill>
              </a:rPr>
              <a:t> </a:t>
            </a:r>
          </a:p>
          <a:p>
            <a:pPr algn="l"/>
            <a:r>
              <a:rPr lang="en-US" altLang="zh-CN" sz="1100">
                <a:solidFill>
                  <a:sysClr val="windowText" lastClr="000000"/>
                </a:solidFill>
              </a:rPr>
              <a:t>2021-10</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6711</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805</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a:p>
            <a:pPr algn="l"/>
            <a:r>
              <a:rPr lang="en-US" altLang="zh-CN" sz="1100">
                <a:solidFill>
                  <a:sysClr val="windowText" lastClr="000000"/>
                </a:solidFill>
              </a:rPr>
              <a:t> </a:t>
            </a:r>
          </a:p>
          <a:p>
            <a:pPr algn="l"/>
            <a:r>
              <a:rPr lang="en-US" altLang="zh-CN" sz="1100">
                <a:solidFill>
                  <a:sysClr val="windowText" lastClr="000000"/>
                </a:solidFill>
              </a:rPr>
              <a:t>2020-09</a:t>
            </a:r>
            <a:r>
              <a:rPr lang="zh-CN" altLang="en-US" sz="1100">
                <a:solidFill>
                  <a:sysClr val="windowText" lastClr="000000"/>
                </a:solidFill>
              </a:rPr>
              <a:t>，</a:t>
            </a:r>
            <a:r>
              <a:rPr lang="en-US" altLang="zh-CN" sz="1100">
                <a:solidFill>
                  <a:sysClr val="windowText" lastClr="000000"/>
                </a:solidFill>
              </a:rPr>
              <a:t>R1.9</a:t>
            </a:r>
          </a:p>
          <a:p>
            <a:pPr algn="l"/>
            <a:r>
              <a:rPr lang="en-US" altLang="zh-CN" sz="1100">
                <a:solidFill>
                  <a:sysClr val="windowText" lastClr="000000"/>
                </a:solidFill>
              </a:rPr>
              <a:t>7753</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982</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58.39%</a:t>
            </a:r>
          </a:p>
          <a:p>
            <a:pPr algn="l"/>
            <a:r>
              <a:rPr lang="zh-CN" altLang="en-US" sz="1100">
                <a:solidFill>
                  <a:sysClr val="windowText" lastClr="000000"/>
                </a:solidFill>
              </a:rPr>
              <a:t>商业占比</a:t>
            </a:r>
            <a:r>
              <a:rPr lang="en-US" altLang="zh-CN" sz="1100">
                <a:solidFill>
                  <a:sysClr val="windowText" lastClr="000000"/>
                </a:solidFill>
              </a:rPr>
              <a:t>10%</a:t>
            </a:r>
          </a:p>
          <a:p>
            <a:pPr algn="l"/>
            <a:r>
              <a:rPr lang="en-US" altLang="zh-CN" sz="1100">
                <a:solidFill>
                  <a:sysClr val="windowText" lastClr="000000"/>
                </a:solidFill>
              </a:rPr>
              <a:t> </a:t>
            </a:r>
          </a:p>
          <a:p>
            <a:pPr algn="l"/>
            <a:r>
              <a:rPr lang="en-US" altLang="zh-CN" sz="1100">
                <a:solidFill>
                  <a:sysClr val="windowText" lastClr="000000"/>
                </a:solidFill>
              </a:rPr>
              <a:t>2020-09</a:t>
            </a:r>
            <a:r>
              <a:rPr lang="zh-CN" altLang="en-US" sz="1100">
                <a:solidFill>
                  <a:sysClr val="windowText" lastClr="000000"/>
                </a:solidFill>
              </a:rPr>
              <a:t>，</a:t>
            </a:r>
            <a:r>
              <a:rPr lang="en-US" altLang="zh-CN" sz="1100">
                <a:solidFill>
                  <a:sysClr val="windowText" lastClr="000000"/>
                </a:solidFill>
              </a:rPr>
              <a:t>R2</a:t>
            </a:r>
          </a:p>
          <a:p>
            <a:pPr algn="l"/>
            <a:r>
              <a:rPr lang="en-US" altLang="zh-CN" sz="1100">
                <a:solidFill>
                  <a:sysClr val="windowText" lastClr="000000"/>
                </a:solidFill>
              </a:rPr>
              <a:t>7620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1016</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61.27%</a:t>
            </a:r>
          </a:p>
          <a:p>
            <a:pPr algn="l"/>
            <a:r>
              <a:rPr lang="zh-CN" altLang="en-US" sz="1100">
                <a:solidFill>
                  <a:sysClr val="windowText" lastClr="000000"/>
                </a:solidFill>
              </a:rPr>
              <a:t>商业占比</a:t>
            </a:r>
            <a:r>
              <a:rPr lang="en-US" altLang="zh-CN" sz="1100">
                <a:solidFill>
                  <a:sysClr val="windowText" lastClr="000000"/>
                </a:solidFill>
              </a:rPr>
              <a:t>10%</a:t>
            </a:r>
          </a:p>
        </xdr:txBody>
      </xdr:sp>
      <xdr:sp macro="" textlink="">
        <xdr:nvSpPr>
          <xdr:cNvPr id="14" name="矩形标注 13"/>
          <xdr:cNvSpPr/>
        </xdr:nvSpPr>
        <xdr:spPr>
          <a:xfrm>
            <a:off x="209550" y="914401"/>
            <a:ext cx="2304000" cy="1552574"/>
          </a:xfrm>
          <a:prstGeom prst="wedgeRectCallout">
            <a:avLst>
              <a:gd name="adj1" fmla="val 204874"/>
              <a:gd name="adj2" fmla="val 2367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R2</a:t>
            </a:r>
          </a:p>
          <a:p>
            <a:pPr algn="l"/>
            <a:r>
              <a:rPr lang="en-US" altLang="zh-CN" sz="1100">
                <a:solidFill>
                  <a:sysClr val="windowText" lastClr="000000"/>
                </a:solidFill>
              </a:rPr>
              <a:t>11155</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1487</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65%</a:t>
            </a:r>
          </a:p>
          <a:p>
            <a:pPr algn="l"/>
            <a:r>
              <a:rPr lang="zh-CN" altLang="en-US" sz="1100" b="1">
                <a:solidFill>
                  <a:srgbClr val="FF0000"/>
                </a:solidFill>
              </a:rPr>
              <a:t>绿城</a:t>
            </a:r>
            <a:r>
              <a:rPr lang="en-US" altLang="zh-CN" sz="1100" b="1">
                <a:solidFill>
                  <a:srgbClr val="FF0000"/>
                </a:solidFill>
              </a:rPr>
              <a:t>·</a:t>
            </a:r>
            <a:r>
              <a:rPr lang="zh-CN" altLang="en-US" sz="1100" b="1">
                <a:solidFill>
                  <a:srgbClr val="FF0000"/>
                </a:solidFill>
              </a:rPr>
              <a:t>桂语听澜：毛坯</a:t>
            </a:r>
            <a:r>
              <a:rPr lang="en-US" altLang="zh-CN" sz="1100" b="1">
                <a:solidFill>
                  <a:srgbClr val="FF0000"/>
                </a:solidFill>
              </a:rPr>
              <a:t>18000</a:t>
            </a:r>
          </a:p>
          <a:p>
            <a:pPr algn="l"/>
            <a:endParaRPr lang="en-US" altLang="zh-CN" sz="1100" b="1">
              <a:solidFill>
                <a:srgbClr val="FF0000"/>
              </a:solidFill>
            </a:endParaRPr>
          </a:p>
          <a:p>
            <a:pPr algn="l"/>
            <a:r>
              <a:rPr lang="en-US" altLang="zh-CN" sz="1100">
                <a:solidFill>
                  <a:sysClr val="windowText" lastClr="000000"/>
                </a:solidFill>
              </a:rPr>
              <a:t>2020-11</a:t>
            </a:r>
            <a:r>
              <a:rPr lang="zh-CN" altLang="en-US" sz="1100">
                <a:solidFill>
                  <a:sysClr val="windowText" lastClr="000000"/>
                </a:solidFill>
              </a:rPr>
              <a:t>，</a:t>
            </a:r>
            <a:r>
              <a:rPr lang="en-US" altLang="zh-CN" sz="1100">
                <a:solidFill>
                  <a:sysClr val="windowText" lastClr="000000"/>
                </a:solidFill>
              </a:rPr>
              <a:t>R1.8</a:t>
            </a:r>
          </a:p>
          <a:p>
            <a:pPr algn="l"/>
            <a:r>
              <a:rPr lang="en-US" altLang="zh-CN" sz="1100">
                <a:solidFill>
                  <a:sysClr val="windowText" lastClr="000000"/>
                </a:solidFill>
              </a:rPr>
              <a:t>11178</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1341</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49%</a:t>
            </a:r>
          </a:p>
          <a:p>
            <a:pPr algn="l"/>
            <a:r>
              <a:rPr lang="zh-CN" altLang="en-US" sz="1100">
                <a:solidFill>
                  <a:sysClr val="windowText" lastClr="000000"/>
                </a:solidFill>
              </a:rPr>
              <a:t>商业</a:t>
            </a:r>
            <a:r>
              <a:rPr lang="en-US" altLang="zh-CN" sz="1100">
                <a:solidFill>
                  <a:sysClr val="windowText" lastClr="000000"/>
                </a:solidFill>
              </a:rPr>
              <a:t>3%</a:t>
            </a:r>
            <a:r>
              <a:rPr lang="zh-CN" altLang="en-US" sz="1100">
                <a:solidFill>
                  <a:sysClr val="windowText" lastClr="000000"/>
                </a:solidFill>
              </a:rPr>
              <a:t>为回迁安置</a:t>
            </a:r>
            <a:endParaRPr lang="en-US" altLang="zh-CN" sz="1100">
              <a:solidFill>
                <a:sysClr val="windowText" lastClr="000000"/>
              </a:solidFill>
            </a:endParaRPr>
          </a:p>
          <a:p>
            <a:pPr algn="l"/>
            <a:r>
              <a:rPr lang="zh-CN" altLang="en-US" sz="1100" b="1">
                <a:solidFill>
                  <a:srgbClr val="FF0000"/>
                </a:solidFill>
              </a:rPr>
              <a:t>春风里：毛坯</a:t>
            </a:r>
            <a:r>
              <a:rPr lang="en-US" altLang="zh-CN" sz="1100" b="1">
                <a:solidFill>
                  <a:srgbClr val="FF0000"/>
                </a:solidFill>
              </a:rPr>
              <a:t>18000</a:t>
            </a:r>
            <a:endParaRPr lang="zh-CN" altLang="en-US" sz="1100" b="1">
              <a:solidFill>
                <a:srgbClr val="FF0000"/>
              </a:solidFill>
            </a:endParaRPr>
          </a:p>
        </xdr:txBody>
      </xdr:sp>
      <xdr:sp macro="" textlink="">
        <xdr:nvSpPr>
          <xdr:cNvPr id="15" name="矩形标注 14"/>
          <xdr:cNvSpPr/>
        </xdr:nvSpPr>
        <xdr:spPr>
          <a:xfrm>
            <a:off x="209550" y="38100"/>
            <a:ext cx="2304000" cy="838200"/>
          </a:xfrm>
          <a:prstGeom prst="wedgeRectCallout">
            <a:avLst>
              <a:gd name="adj1" fmla="val 192472"/>
              <a:gd name="adj2" fmla="val 6710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2020-10</a:t>
            </a:r>
            <a:r>
              <a:rPr lang="zh-CN" altLang="en-US" sz="1100">
                <a:solidFill>
                  <a:sysClr val="windowText" lastClr="000000"/>
                </a:solidFill>
              </a:rPr>
              <a:t>，</a:t>
            </a:r>
            <a:r>
              <a:rPr lang="en-US" altLang="zh-CN" sz="1100">
                <a:solidFill>
                  <a:sysClr val="windowText" lastClr="000000"/>
                </a:solidFill>
              </a:rPr>
              <a:t>R2.5</a:t>
            </a:r>
          </a:p>
          <a:p>
            <a:pPr algn="l"/>
            <a:r>
              <a:rPr lang="en-US" altLang="zh-CN" sz="1100">
                <a:solidFill>
                  <a:sysClr val="windowText" lastClr="000000"/>
                </a:solidFill>
              </a:rPr>
              <a:t>3500-3700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580-620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a:p>
            <a:pPr algn="l"/>
            <a:r>
              <a:rPr lang="zh-CN" altLang="en-US" sz="1100">
                <a:solidFill>
                  <a:sysClr val="windowText" lastClr="000000"/>
                </a:solidFill>
              </a:rPr>
              <a:t>商业占比</a:t>
            </a:r>
            <a:r>
              <a:rPr lang="en-US" altLang="zh-CN" sz="1100">
                <a:solidFill>
                  <a:sysClr val="windowText" lastClr="000000"/>
                </a:solidFill>
              </a:rPr>
              <a:t>25%</a:t>
            </a:r>
          </a:p>
        </xdr:txBody>
      </xdr:sp>
      <xdr:sp macro="" textlink="">
        <xdr:nvSpPr>
          <xdr:cNvPr id="16" name="矩形标注 15"/>
          <xdr:cNvSpPr/>
        </xdr:nvSpPr>
        <xdr:spPr>
          <a:xfrm>
            <a:off x="8553450" y="95251"/>
            <a:ext cx="2304000" cy="847726"/>
          </a:xfrm>
          <a:prstGeom prst="wedgeRectCallout">
            <a:avLst>
              <a:gd name="adj1" fmla="val -140067"/>
              <a:gd name="adj2" fmla="val 4247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2020-05</a:t>
            </a:r>
            <a:r>
              <a:rPr lang="zh-CN" altLang="en-US" sz="1100">
                <a:solidFill>
                  <a:sysClr val="windowText" lastClr="000000"/>
                </a:solidFill>
              </a:rPr>
              <a:t>，</a:t>
            </a:r>
            <a:r>
              <a:rPr lang="en-US" altLang="zh-CN" sz="1100">
                <a:solidFill>
                  <a:sysClr val="windowText" lastClr="000000"/>
                </a:solidFill>
              </a:rPr>
              <a:t>R1.4</a:t>
            </a:r>
          </a:p>
          <a:p>
            <a:pPr algn="l"/>
            <a:r>
              <a:rPr lang="en-US" altLang="zh-CN" sz="1100">
                <a:solidFill>
                  <a:sysClr val="windowText" lastClr="000000"/>
                </a:solidFill>
              </a:rPr>
              <a:t>7407</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691</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38.27%</a:t>
            </a:r>
          </a:p>
          <a:p>
            <a:pPr algn="l"/>
            <a:r>
              <a:rPr lang="zh-CN" altLang="en-US" sz="1100" b="1">
                <a:solidFill>
                  <a:srgbClr val="FF0000"/>
                </a:solidFill>
              </a:rPr>
              <a:t>山河宸院：毛坯</a:t>
            </a:r>
            <a:r>
              <a:rPr lang="en-US" altLang="zh-CN" sz="1100" b="1">
                <a:solidFill>
                  <a:srgbClr val="FF0000"/>
                </a:solidFill>
              </a:rPr>
              <a:t>14700</a:t>
            </a:r>
            <a:r>
              <a:rPr lang="zh-CN" altLang="en-US" sz="1100" b="1">
                <a:solidFill>
                  <a:srgbClr val="FF0000"/>
                </a:solidFill>
              </a:rPr>
              <a:t>（多层、小高层）</a:t>
            </a:r>
            <a:endParaRPr lang="en-US" altLang="zh-CN" sz="1100" b="1">
              <a:solidFill>
                <a:srgbClr val="FF0000"/>
              </a:solidFill>
            </a:endParaRPr>
          </a:p>
        </xdr:txBody>
      </xdr:sp>
      <xdr:sp macro="" textlink="">
        <xdr:nvSpPr>
          <xdr:cNvPr id="17" name="矩形标注 16"/>
          <xdr:cNvSpPr/>
        </xdr:nvSpPr>
        <xdr:spPr>
          <a:xfrm>
            <a:off x="209550" y="2514600"/>
            <a:ext cx="2304000" cy="666750"/>
          </a:xfrm>
          <a:prstGeom prst="wedgeRectCallout">
            <a:avLst>
              <a:gd name="adj1" fmla="val 113097"/>
              <a:gd name="adj2" fmla="val -11271"/>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2020-02</a:t>
            </a:r>
            <a:r>
              <a:rPr lang="zh-CN" altLang="en-US" sz="1100">
                <a:solidFill>
                  <a:sysClr val="windowText" lastClr="000000"/>
                </a:solidFill>
              </a:rPr>
              <a:t>，</a:t>
            </a:r>
            <a:r>
              <a:rPr lang="en-US" altLang="zh-CN" sz="1100">
                <a:solidFill>
                  <a:sysClr val="windowText" lastClr="000000"/>
                </a:solidFill>
              </a:rPr>
              <a:t>R3</a:t>
            </a:r>
          </a:p>
          <a:p>
            <a:pPr algn="l"/>
            <a:r>
              <a:rPr lang="en-US" altLang="zh-CN" sz="1100">
                <a:solidFill>
                  <a:sysClr val="windowText" lastClr="000000"/>
                </a:solidFill>
              </a:rPr>
              <a:t>2800-3100</a:t>
            </a:r>
            <a:r>
              <a:rPr lang="zh-CN" altLang="en-US" sz="1100">
                <a:solidFill>
                  <a:sysClr val="windowText" lastClr="000000"/>
                </a:solidFill>
              </a:rPr>
              <a:t>元</a:t>
            </a:r>
            <a:r>
              <a:rPr lang="en-US" altLang="zh-CN" sz="1100">
                <a:solidFill>
                  <a:sysClr val="windowText" lastClr="000000"/>
                </a:solidFill>
              </a:rPr>
              <a:t>/㎡</a:t>
            </a:r>
            <a:r>
              <a:rPr lang="zh-CN" altLang="en-US" sz="1100">
                <a:solidFill>
                  <a:sysClr val="windowText" lastClr="000000"/>
                </a:solidFill>
              </a:rPr>
              <a:t>，</a:t>
            </a:r>
            <a:r>
              <a:rPr lang="en-US" altLang="zh-CN" sz="1100">
                <a:solidFill>
                  <a:sysClr val="windowText" lastClr="000000"/>
                </a:solidFill>
              </a:rPr>
              <a:t>560-630</a:t>
            </a:r>
            <a:r>
              <a:rPr lang="zh-CN" altLang="en-US" sz="1100">
                <a:solidFill>
                  <a:sysClr val="windowText" lastClr="000000"/>
                </a:solidFill>
              </a:rPr>
              <a:t>万元</a:t>
            </a:r>
            <a:r>
              <a:rPr lang="en-US" altLang="zh-CN" sz="1100">
                <a:solidFill>
                  <a:sysClr val="windowText" lastClr="000000"/>
                </a:solidFill>
              </a:rPr>
              <a:t>/</a:t>
            </a:r>
            <a:r>
              <a:rPr lang="zh-CN" altLang="en-US" sz="1100">
                <a:solidFill>
                  <a:sysClr val="windowText" lastClr="000000"/>
                </a:solidFill>
              </a:rPr>
              <a:t>亩，</a:t>
            </a:r>
            <a:r>
              <a:rPr lang="en-US" altLang="zh-CN" sz="1100">
                <a:solidFill>
                  <a:sysClr val="windowText" lastClr="000000"/>
                </a:solidFill>
              </a:rPr>
              <a:t>0%</a:t>
            </a:r>
          </a:p>
        </xdr:txBody>
      </xdr:sp>
      <xdr:sp macro="" textlink="">
        <xdr:nvSpPr>
          <xdr:cNvPr id="19" name="矩形标注 18"/>
          <xdr:cNvSpPr/>
        </xdr:nvSpPr>
        <xdr:spPr>
          <a:xfrm>
            <a:off x="9848850" y="3238501"/>
            <a:ext cx="3200400" cy="666750"/>
          </a:xfrm>
          <a:prstGeom prst="wedgeRectCallout">
            <a:avLst>
              <a:gd name="adj1" fmla="val -13362"/>
              <a:gd name="adj2" fmla="val -3752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碧桂园</a:t>
            </a:r>
            <a:r>
              <a:rPr lang="en-US" altLang="zh-CN" sz="1100" b="1">
                <a:solidFill>
                  <a:srgbClr val="FF0000"/>
                </a:solidFill>
              </a:rPr>
              <a:t>·</a:t>
            </a:r>
            <a:r>
              <a:rPr lang="zh-CN" altLang="en-US" sz="1100" b="1">
                <a:solidFill>
                  <a:srgbClr val="FF0000"/>
                </a:solidFill>
              </a:rPr>
              <a:t>海棠别院：装修</a:t>
            </a:r>
            <a:r>
              <a:rPr lang="en-US" altLang="zh-CN" sz="1100" b="1">
                <a:solidFill>
                  <a:srgbClr val="FF0000"/>
                </a:solidFill>
              </a:rPr>
              <a:t>13000</a:t>
            </a:r>
            <a:r>
              <a:rPr lang="zh-CN" altLang="en-US" sz="1100" b="1">
                <a:solidFill>
                  <a:srgbClr val="FF0000"/>
                </a:solidFill>
              </a:rPr>
              <a:t>（多层高层别墅）</a:t>
            </a:r>
            <a:endParaRPr lang="en-US" altLang="zh-CN" sz="1100" b="1">
              <a:solidFill>
                <a:srgbClr val="FF0000"/>
              </a:solidFill>
            </a:endParaRPr>
          </a:p>
          <a:p>
            <a:pPr algn="l"/>
            <a:r>
              <a:rPr lang="zh-CN" altLang="en-US" sz="1100" b="1">
                <a:solidFill>
                  <a:srgbClr val="FF0000"/>
                </a:solidFill>
              </a:rPr>
              <a:t>金科</a:t>
            </a:r>
            <a:r>
              <a:rPr lang="en-US" altLang="zh-CN" sz="1100" b="1">
                <a:solidFill>
                  <a:srgbClr val="FF0000"/>
                </a:solidFill>
              </a:rPr>
              <a:t>·</a:t>
            </a:r>
            <a:r>
              <a:rPr lang="zh-CN" altLang="en-US" sz="1100" b="1">
                <a:solidFill>
                  <a:srgbClr val="FF0000"/>
                </a:solidFill>
              </a:rPr>
              <a:t>世茂 星澜都会：装修</a:t>
            </a:r>
            <a:r>
              <a:rPr lang="en-US" altLang="zh-CN" sz="1100" b="1">
                <a:solidFill>
                  <a:srgbClr val="FF0000"/>
                </a:solidFill>
              </a:rPr>
              <a:t>11500</a:t>
            </a:r>
          </a:p>
          <a:p>
            <a:pPr algn="l"/>
            <a:r>
              <a:rPr lang="zh-CN" altLang="en-US" sz="1100" b="1">
                <a:solidFill>
                  <a:srgbClr val="FF0000"/>
                </a:solidFill>
              </a:rPr>
              <a:t>金一</a:t>
            </a:r>
            <a:r>
              <a:rPr lang="en-US" altLang="zh-CN" sz="1100" b="1">
                <a:solidFill>
                  <a:srgbClr val="FF0000"/>
                </a:solidFill>
              </a:rPr>
              <a:t>·</a:t>
            </a:r>
            <a:r>
              <a:rPr lang="zh-CN" altLang="en-US" sz="1100" b="1">
                <a:solidFill>
                  <a:srgbClr val="FF0000"/>
                </a:solidFill>
              </a:rPr>
              <a:t>克拉双城：毛坯</a:t>
            </a:r>
            <a:r>
              <a:rPr lang="en-US" altLang="zh-CN" sz="1100" b="1">
                <a:solidFill>
                  <a:srgbClr val="FF0000"/>
                </a:solidFill>
              </a:rPr>
              <a:t>10200</a:t>
            </a:r>
          </a:p>
          <a:p>
            <a:pPr algn="l"/>
            <a:endParaRPr lang="en-US" altLang="zh-CN" sz="1100">
              <a:solidFill>
                <a:srgbClr val="FF0000"/>
              </a:solidFill>
            </a:endParaRPr>
          </a:p>
        </xdr:txBody>
      </xdr:sp>
    </xdr:grp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4" customWidth="1"/>
    <col min="2" max="2" width="78.25" style="2575" customWidth="1"/>
    <col min="3" max="18" width="9" style="2569"/>
    <col min="19" max="19" width="17.875" style="2569" customWidth="1"/>
    <col min="20" max="51" width="9" style="2569"/>
    <col min="52" max="52" width="13.25" style="2569" customWidth="1"/>
    <col min="53" max="53" width="13.5" style="2569" bestFit="1" customWidth="1"/>
    <col min="54" max="54" width="11.625" style="2569" bestFit="1" customWidth="1"/>
    <col min="55" max="55" width="13.5" style="2569" bestFit="1" customWidth="1"/>
    <col min="56" max="16384" width="9" style="2569"/>
  </cols>
  <sheetData>
    <row r="1" spans="1:55" s="2580" customFormat="1" ht="16.5" thickBot="1">
      <c r="A1" s="2578" t="s">
        <v>2615</v>
      </c>
      <c r="B1" s="2579" t="s">
        <v>2712</v>
      </c>
    </row>
    <row r="2" spans="1:55" s="2583" customFormat="1" ht="15" thickTop="1">
      <c r="A2" s="2581" t="s">
        <v>2619</v>
      </c>
      <c r="B2" s="2582" t="str">
        <f>'预评函-封皮'!B37</f>
        <v>出让国有建设用地使用权预评估</v>
      </c>
      <c r="AX2" s="2584"/>
      <c r="AZ2" s="2584"/>
      <c r="BA2" s="2585"/>
      <c r="BC2" s="2585"/>
    </row>
    <row r="3" spans="1:55" s="2586" customFormat="1">
      <c r="A3" s="2565" t="s">
        <v>2620</v>
      </c>
      <c r="B3" s="2568">
        <f>'预评函-封皮'!B40</f>
        <v>0</v>
      </c>
    </row>
    <row r="4" spans="1:55" s="2567" customFormat="1">
      <c r="A4" s="2565" t="s">
        <v>2621</v>
      </c>
      <c r="B4" s="2566" t="str">
        <f>'预评函-封皮'!B46</f>
        <v>王鹏、郑燚</v>
      </c>
      <c r="N4" s="2567" t="str">
        <f>'预评函-1'!A28</f>
        <v>本次估价的“抵押净值”是指估价对象“抵押价格”减去估价对象在估价期日以“土地销售收入”为基数计算的预计抵押权实现进行处置时需缴纳的各项费用、税金等相关费用后的价格。</v>
      </c>
    </row>
    <row r="5" spans="1:55" s="2580" customFormat="1" ht="15" thickBot="1">
      <c r="A5" s="2587" t="s">
        <v>2622</v>
      </c>
      <c r="B5" s="2588" t="str">
        <f>'预评函-封皮'!B49</f>
        <v>康正预评字号</v>
      </c>
    </row>
    <row r="6" spans="1:55" s="2589" customFormat="1" ht="15" thickTop="1">
      <c r="A6" s="2581" t="s">
        <v>2664</v>
      </c>
      <c r="B6" s="2582" t="str">
        <f>'预评函-1'!A4</f>
        <v>受贵公司委托，我公司对出让国有建设用地使用权进行了预评估。</v>
      </c>
      <c r="AM6" s="2590"/>
    </row>
    <row r="7" spans="1:55" s="2564" customFormat="1">
      <c r="A7" s="2565" t="s">
        <v>2616</v>
      </c>
      <c r="B7" s="2566" t="str">
        <f>'预评函-1'!A6</f>
        <v>估价对象为使用的、位于出让国有建设用地使用权。根据《国有土地使用证》[]，估价对象（分摊）出让国有建设用地使用权面积为34818平方米。根据《建设工程规划许可证》[]、《出让合同》[]，估价对象规划建筑面积为104454平方米。</v>
      </c>
    </row>
    <row r="8" spans="1:55" s="2564" customFormat="1">
      <c r="A8" s="2565" t="s">
        <v>2617</v>
      </c>
      <c r="B8" s="2566" t="str">
        <f>'预评函-1'!A7</f>
        <v xml:space="preserve">简述项目推广名，项目类型（用途），估价对象分布，各用途面积明细情况：XX用途建筑面积XX平方米，XX用途建筑面积XX平方米，……。复杂面积清单需设‘附表’列示：抵押物清单详见附表。        </v>
      </c>
    </row>
    <row r="9" spans="1:55" s="2564" customFormat="1">
      <c r="A9" s="2565" t="s">
        <v>2667</v>
      </c>
      <c r="B9" s="256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64" customFormat="1">
      <c r="A10" s="2565" t="s">
        <v>2618</v>
      </c>
      <c r="B10" s="2566" t="str">
        <f>'预评函-1'!A11</f>
        <v>2022年1月13日</v>
      </c>
    </row>
    <row r="11" spans="1:55" s="2564" customFormat="1">
      <c r="A11" s="2565" t="s">
        <v>2624</v>
      </c>
      <c r="B11" s="2566" t="str">
        <f>'预评函-1'!A14</f>
        <v>根据《国有土地使用证》[]，本次评估估价对象证载（地类）用途为。</v>
      </c>
    </row>
    <row r="12" spans="1:55" s="2564" customFormat="1">
      <c r="A12" s="2565" t="s">
        <v>2625</v>
      </c>
      <c r="B12" s="2566" t="str">
        <f>'预评函-1'!A15</f>
        <v>本次评估设定用途即为证载用途。</v>
      </c>
    </row>
    <row r="13" spans="1:55" s="2564" customFormat="1">
      <c r="A13" s="2565" t="s">
        <v>2626</v>
      </c>
      <c r="B13" s="2566" t="str">
        <f>'预评函-1'!A17</f>
        <v>根据委托估价方介绍及评估专业人员现场勘查，本次评估估价对象实际土地开发程度为红线外市政基础设施达“七通”（即、、、、、、）、宗地红线内场地平整。</v>
      </c>
    </row>
    <row r="14" spans="1:55" s="2564" customFormat="1">
      <c r="A14" s="2565" t="s">
        <v>2627</v>
      </c>
      <c r="B14" s="2566" t="str">
        <f>'预评函-1'!A18</f>
        <v>。本次评估设定土地开发程度为红线外市政基础设施达“七通”、宗地红线内场地平整。</v>
      </c>
    </row>
    <row r="15" spans="1:55" s="2564" customFormat="1">
      <c r="A15" s="2565" t="s">
        <v>2623</v>
      </c>
      <c r="B15" s="2566" t="str">
        <f>'预评函-1'!A20</f>
        <v>根据《国有土地使用证》[]，估价对象（分摊）出让国有建设用地使用权面积为34818平方米。根据《建设工程规划许可证》[]、《出让合同》[]，估价对象规划建筑面积为104454平方米。</v>
      </c>
    </row>
    <row r="16" spans="1:55" s="2564" customFormat="1">
      <c r="A16" s="2565" t="s">
        <v>2628</v>
      </c>
      <c r="B16" s="256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3月9日、商业2061年3月9日。截至估价期日，出让国有建设用地使用权剩余土地使用年限为。</v>
      </c>
    </row>
    <row r="17" spans="1:48" s="2564" customFormat="1">
      <c r="A17" s="2565" t="s">
        <v>2629</v>
      </c>
      <c r="B17" s="2566" t="str">
        <f>'预评函-1'!A23</f>
        <v>本次评估设定估价对象剩余土地使用年限为。</v>
      </c>
    </row>
    <row r="18" spans="1:48" s="2564" customFormat="1">
      <c r="A18" s="2565" t="s">
        <v>2630</v>
      </c>
      <c r="B18" s="2566" t="str">
        <f>'预评函-1'!A25</f>
        <v>本次估价的“出让国有建设用地使用权价格”是指在估价对象土地所有权为国家所有，使用权性质为出让，在公开市场条件下、于估价期日2022年1月13日，在规划利用条件下、设定土地开发程度为红线外“七通”、宗地内场地，设定用途为，剩余土地使用年限为的出让国有建设用地使用权价格。</v>
      </c>
    </row>
    <row r="19" spans="1:48" s="2564" customFormat="1">
      <c r="A19" s="2565" t="s">
        <v>2631</v>
      </c>
      <c r="B19" s="256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64" customFormat="1">
      <c r="A20" s="2565" t="s">
        <v>2632</v>
      </c>
      <c r="B20" s="25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80" customFormat="1" ht="15" thickBot="1">
      <c r="A21" s="2587" t="s">
        <v>2633</v>
      </c>
      <c r="B21" s="258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6" t="s">
        <v>2634</v>
      </c>
      <c r="B22" s="25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65" t="s">
        <v>2635</v>
      </c>
      <c r="B23" s="2566" t="str">
        <f>'预评函-2'!K2</f>
        <v>估价期日：2022年1月13日</v>
      </c>
    </row>
    <row r="24" spans="1:48">
      <c r="A24" s="2565" t="s">
        <v>2636</v>
      </c>
      <c r="B24" s="2566" t="str">
        <f>'预评函-2'!R2</f>
        <v>估价期日的国有建设用地使用权性质：出让</v>
      </c>
    </row>
    <row r="25" spans="1:48">
      <c r="A25" s="2565" t="s">
        <v>2692</v>
      </c>
      <c r="B25" s="2566" t="str">
        <f>'预评函-2'!A3</f>
        <v>估价期日土地使用者</v>
      </c>
    </row>
    <row r="26" spans="1:48">
      <c r="A26" s="2565" t="s">
        <v>2668</v>
      </c>
      <c r="B26" s="2566" t="str">
        <f>'预评函-2'!A5</f>
        <v>中信开发</v>
      </c>
    </row>
    <row r="27" spans="1:48">
      <c r="A27" s="2565" t="s">
        <v>2693</v>
      </c>
      <c r="B27" s="2566" t="str">
        <f>'预评函-2'!B3</f>
        <v>宗地编号/不动产单元号</v>
      </c>
    </row>
    <row r="28" spans="1:48">
      <c r="A28" s="2565" t="s">
        <v>2669</v>
      </c>
      <c r="B28" s="2566" t="str">
        <f>'预评函-2'!B5</f>
        <v>11111111111</v>
      </c>
    </row>
    <row r="29" spans="1:48">
      <c r="A29" s="2565" t="s">
        <v>2695</v>
      </c>
      <c r="B29" s="2566">
        <f>'预评函-2'!C5</f>
        <v>22</v>
      </c>
    </row>
    <row r="30" spans="1:48">
      <c r="A30" s="2565" t="s">
        <v>2696</v>
      </c>
      <c r="B30" s="2566" t="str">
        <f>'预评函-2'!D3</f>
        <v>土地使用证编号/不动产权证书编号</v>
      </c>
    </row>
    <row r="31" spans="1:48">
      <c r="A31" s="2565" t="s">
        <v>2670</v>
      </c>
      <c r="B31" s="2566" t="str">
        <f>'预评函-2'!D5</f>
        <v>京国土字第111号</v>
      </c>
    </row>
    <row r="32" spans="1:48">
      <c r="A32" s="2565" t="s">
        <v>2671</v>
      </c>
      <c r="B32" s="2566">
        <f>'预评函-2'!E5</f>
        <v>0</v>
      </c>
      <c r="AV32" s="2570"/>
    </row>
    <row r="33" spans="1:2">
      <c r="A33" s="2565" t="s">
        <v>2672</v>
      </c>
      <c r="B33" s="2566">
        <f>'预评函-2'!F5</f>
        <v>258</v>
      </c>
    </row>
    <row r="34" spans="1:2">
      <c r="A34" s="2565" t="s">
        <v>2673</v>
      </c>
      <c r="B34" s="2566">
        <f>'预评函-2'!G5</f>
        <v>0</v>
      </c>
    </row>
    <row r="35" spans="1:2">
      <c r="A35" s="2565" t="s">
        <v>2674</v>
      </c>
      <c r="B35" s="2566">
        <f>'预评函-2'!H5</f>
        <v>1.5</v>
      </c>
    </row>
    <row r="36" spans="1:2">
      <c r="A36" s="2565" t="s">
        <v>2675</v>
      </c>
      <c r="B36" s="2566">
        <f>'预评函-2'!I5</f>
        <v>1.5</v>
      </c>
    </row>
    <row r="37" spans="1:2">
      <c r="A37" s="2565" t="s">
        <v>2676</v>
      </c>
      <c r="B37" s="2566">
        <f>'预评函-2'!J5</f>
        <v>1.5</v>
      </c>
    </row>
    <row r="38" spans="1:2">
      <c r="A38" s="2565" t="s">
        <v>2677</v>
      </c>
      <c r="B38" s="2566" t="str">
        <f>'预评函-2'!K5</f>
        <v>红线外七通、宗地红线内</v>
      </c>
    </row>
    <row r="39" spans="1:2">
      <c r="A39" s="2565" t="s">
        <v>2678</v>
      </c>
      <c r="B39" s="2566" t="str">
        <f>'预评函-2'!L5</f>
        <v>红线外七通、宗地红线内场地</v>
      </c>
    </row>
    <row r="40" spans="1:2">
      <c r="A40" s="2565" t="s">
        <v>2697</v>
      </c>
      <c r="B40" s="2566" t="str">
        <f>'预评函-2'!M3</f>
        <v>（剩余）土地使用年限/年</v>
      </c>
    </row>
    <row r="41" spans="1:2">
      <c r="A41" s="2565" t="s">
        <v>2679</v>
      </c>
      <c r="B41" s="2566">
        <f>'预评函-2'!M5</f>
        <v>0</v>
      </c>
    </row>
    <row r="42" spans="1:2">
      <c r="A42" s="2565" t="s">
        <v>2698</v>
      </c>
      <c r="B42" s="2566" t="str">
        <f>'预评函-2'!N3</f>
        <v>（分摊）出让国有建设用地使用权面积/㎡</v>
      </c>
    </row>
    <row r="43" spans="1:2">
      <c r="A43" s="2565" t="s">
        <v>2680</v>
      </c>
      <c r="B43" s="2566">
        <f>'预评函-2'!N5</f>
        <v>34818</v>
      </c>
    </row>
    <row r="44" spans="1:2">
      <c r="A44" s="2565" t="s">
        <v>2699</v>
      </c>
      <c r="B44" s="2566" t="str">
        <f>'预评函-2'!O3</f>
        <v>规划建筑面积/㎡</v>
      </c>
    </row>
    <row r="45" spans="1:2">
      <c r="A45" s="2565" t="s">
        <v>2681</v>
      </c>
      <c r="B45" s="2566">
        <f>'预评函-2'!O5</f>
        <v>104454</v>
      </c>
    </row>
    <row r="46" spans="1:2">
      <c r="A46" s="2565" t="s">
        <v>2682</v>
      </c>
      <c r="B46" s="2566">
        <f ca="1">'预评函-2'!P5</f>
        <v>9707</v>
      </c>
    </row>
    <row r="47" spans="1:2">
      <c r="A47" s="2565" t="s">
        <v>2683</v>
      </c>
      <c r="B47" s="2566">
        <f ca="1">'预评函-2'!Q5</f>
        <v>3236</v>
      </c>
    </row>
    <row r="48" spans="1:2">
      <c r="A48" s="2565" t="s">
        <v>2684</v>
      </c>
      <c r="B48" s="2566">
        <f ca="1">'预评函-2'!R5</f>
        <v>33798</v>
      </c>
    </row>
    <row r="49" spans="1:2">
      <c r="A49" s="2565" t="s">
        <v>2700</v>
      </c>
      <c r="B49" s="2566" t="str">
        <f>'预评函-2'!A6</f>
        <v>抵押价格</v>
      </c>
    </row>
    <row r="50" spans="1:2">
      <c r="A50" s="2565" t="s">
        <v>2685</v>
      </c>
      <c r="B50" s="2566" t="str">
        <f>'预评函-2'!R6</f>
        <v>——</v>
      </c>
    </row>
    <row r="51" spans="1:2">
      <c r="A51" s="2565" t="s">
        <v>2701</v>
      </c>
      <c r="B51" s="2566" t="str">
        <f>'预评函-2'!A7</f>
        <v>——</v>
      </c>
    </row>
    <row r="52" spans="1:2">
      <c r="A52" s="2565" t="s">
        <v>2686</v>
      </c>
      <c r="B52" s="2566" t="str">
        <f>'预评函-2'!R7</f>
        <v>——</v>
      </c>
    </row>
    <row r="53" spans="1:2">
      <c r="A53" s="2565" t="s">
        <v>2702</v>
      </c>
      <c r="B53" s="2566">
        <f>'预评函-2'!A8</f>
        <v>0</v>
      </c>
    </row>
    <row r="54" spans="1:2" s="2580" customFormat="1" ht="15" thickBot="1">
      <c r="A54" s="2587" t="s">
        <v>2687</v>
      </c>
      <c r="B54" s="2588" t="str">
        <f>'预评函-2'!R8</f>
        <v>——</v>
      </c>
    </row>
    <row r="55" spans="1:2" ht="15" thickTop="1">
      <c r="A55" s="2576" t="s">
        <v>2637</v>
      </c>
      <c r="B55" s="2577" t="str">
        <f>'预评函-3'!A2</f>
        <v>1.权利限制：根据估价对象《不动产权证书》原件、《国有土地使用权》复印件，截至估价期日，估价对象抵押权未见登记。未设定租赁等其他他项权利。</v>
      </c>
    </row>
    <row r="56" spans="1:2">
      <c r="A56" s="2565" t="s">
        <v>2638</v>
      </c>
      <c r="B56" s="2566" t="str">
        <f>'预评函-3'!A3</f>
        <v>2.基础设施条件：估价对象实际开发程度为红线外七通、宗地红线内；本次评估设定开发程度为红线外七通、宗地红线内场地。</v>
      </c>
    </row>
    <row r="57" spans="1:2">
      <c r="A57" s="2565" t="s">
        <v>2639</v>
      </c>
      <c r="B57" s="2566" t="str">
        <f>'预评函-3'!A4</f>
        <v>3.估价规划限制条件：详见《建设工程规划许可证》[]、《出让合同》[]。</v>
      </c>
    </row>
    <row r="58" spans="1:2" s="2580" customFormat="1" ht="15" thickBot="1">
      <c r="A58" s="2587" t="s">
        <v>2688</v>
      </c>
      <c r="B58" s="2588" t="str">
        <f>'预评函-3'!A5</f>
        <v>4.影响价格的其他限定条件：无。</v>
      </c>
    </row>
    <row r="59" spans="1:2" ht="15" thickTop="1">
      <c r="A59" s="2576" t="s">
        <v>2640</v>
      </c>
      <c r="B59" s="2577" t="str">
        <f>'预评函-3'!A8</f>
        <v>2.本《评估意见函》仅供金融机构进行内部审核使用，不做其他目的之用。</v>
      </c>
    </row>
    <row r="60" spans="1:2">
      <c r="A60" s="2565" t="s">
        <v>2641</v>
      </c>
      <c r="B60" s="2566" t="str">
        <f>'预评函-3'!A9</f>
        <v>3.抵押双方在办理抵押登记手续时，应使用本公司出具的正式《土地估价报告》，特提请报告使用者注意。</v>
      </c>
    </row>
    <row r="61" spans="1:2">
      <c r="A61" s="2565" t="s">
        <v>2643</v>
      </c>
      <c r="B61" s="2566" t="str">
        <f>'预评函-3'!A10</f>
        <v>4.估价师所知悉的法定优先受偿款情况为：</v>
      </c>
    </row>
    <row r="62" spans="1:2">
      <c r="A62" s="2565" t="s">
        <v>2642</v>
      </c>
      <c r="B62" s="256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65" t="s">
        <v>2644</v>
      </c>
      <c r="B63" s="25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5" t="s">
        <v>2645</v>
      </c>
      <c r="B64" s="2571" t="str">
        <f>'预评函-3'!A13</f>
        <v>（3）。</v>
      </c>
    </row>
    <row r="65" spans="1:2">
      <c r="A65" s="2565" t="s">
        <v>2646</v>
      </c>
      <c r="B65" s="2572" t="str">
        <f>'预评函-3'!A14</f>
        <v>综上，本次评估不存在估价师知悉的法定优先受偿款</v>
      </c>
    </row>
    <row r="66" spans="1:2">
      <c r="A66" s="2565" t="s">
        <v>2647</v>
      </c>
      <c r="B66" s="25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5" t="s">
        <v>2648</v>
      </c>
      <c r="B67" s="25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80" customFormat="1" ht="15" thickBot="1">
      <c r="A68" s="2587" t="s">
        <v>2651</v>
      </c>
      <c r="B68" s="2591">
        <f>'预评函-3'!D30</f>
        <v>42558</v>
      </c>
    </row>
    <row r="69" spans="1:2" ht="15" thickTop="1">
      <c r="A69" s="2576" t="s">
        <v>2649</v>
      </c>
      <c r="B69" s="2577" t="str">
        <f>'预评函-3'!A20</f>
        <v>王鹏</v>
      </c>
    </row>
    <row r="70" spans="1:2">
      <c r="A70" s="2565" t="s">
        <v>2649</v>
      </c>
      <c r="B70" s="2572">
        <f ca="1">'预评函-3'!B20</f>
        <v>2002110030</v>
      </c>
    </row>
    <row r="71" spans="1:2">
      <c r="A71" s="2565" t="s">
        <v>2650</v>
      </c>
      <c r="B71" s="2566" t="str">
        <f>'预评函-3'!A21</f>
        <v>郑燚</v>
      </c>
    </row>
    <row r="72" spans="1:2" s="2580" customFormat="1" ht="15" thickBot="1">
      <c r="A72" s="2587" t="s">
        <v>2650</v>
      </c>
      <c r="B72" s="2593">
        <f ca="1">'预评函-3'!B21</f>
        <v>2014110011</v>
      </c>
    </row>
    <row r="73" spans="1:2" ht="15" thickTop="1">
      <c r="A73" s="2576" t="s">
        <v>2709</v>
      </c>
      <c r="B73" s="25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5" t="s">
        <v>2710</v>
      </c>
      <c r="B74" s="2573" t="str">
        <f>'预评函-1 (储备)'!A18</f>
        <v>由于本次评估估价目的是评估储备国有建设用地使用权的“抵押价格”，因此本次评估设定土地开发程度为红线外市政基础设施达“七通”、宗地红线内场地平整。</v>
      </c>
    </row>
    <row r="75" spans="1:2" s="2580" customFormat="1" ht="15" thickBot="1">
      <c r="A75" s="2587" t="s">
        <v>2711</v>
      </c>
      <c r="B75" s="25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4" t="s">
        <v>2745</v>
      </c>
      <c r="B76" s="257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I26" sqref="I26"/>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37" customWidth="1"/>
    <col min="12" max="13" width="10" style="3038" customWidth="1"/>
    <col min="14" max="14" width="10" style="3023" customWidth="1"/>
    <col min="15" max="15" width="10" style="3039" customWidth="1"/>
    <col min="16" max="17" width="10" style="3023"/>
    <col min="18" max="18" width="10" style="3023" customWidth="1"/>
    <col min="19" max="28" width="10" style="3023"/>
    <col min="29" max="16384" width="10" style="1587"/>
  </cols>
  <sheetData>
    <row r="1" spans="1:21" ht="15" thickBot="1">
      <c r="A1" s="1560" t="s">
        <v>1911</v>
      </c>
      <c r="B1" s="3350" t="str">
        <f>IF(B10="北京市","北京市",C10)&amp;F10&amp;B16&amp;"国有建设用地使用权"&amp;B9&amp;"预评估"</f>
        <v>出让国有建设用地使用权预评估</v>
      </c>
      <c r="C1" s="3351"/>
      <c r="D1" s="3351"/>
      <c r="E1" s="3351"/>
      <c r="F1" s="3351"/>
      <c r="G1" s="3351"/>
      <c r="H1" s="3351"/>
      <c r="I1" s="3352"/>
      <c r="J1" s="3041"/>
      <c r="K1" s="2283" t="str">
        <f>IF(B10="北京市","北京市",C10)&amp;F10&amp;B16&amp;"国有建设用地使用权"&amp;B9</f>
        <v>出让国有建设用地使用权</v>
      </c>
      <c r="L1" s="3020"/>
      <c r="M1" s="3020"/>
      <c r="N1" s="3021"/>
      <c r="O1" s="3022"/>
      <c r="P1" s="3021"/>
      <c r="Q1" s="3021"/>
      <c r="R1" s="3021"/>
      <c r="S1" s="3021"/>
      <c r="T1" s="3021"/>
      <c r="U1" s="3021"/>
    </row>
    <row r="2" spans="1:21">
      <c r="A2" s="1561" t="s">
        <v>1912</v>
      </c>
      <c r="B2" s="1729"/>
      <c r="D2" s="3041"/>
      <c r="E2" s="3041"/>
      <c r="F2" s="3041"/>
      <c r="G2" s="3041"/>
      <c r="H2" s="3042"/>
      <c r="I2" s="3043"/>
      <c r="J2" s="3041"/>
      <c r="K2" s="2283" t="str">
        <f>IF(B10="北京市","北京市",C10)&amp;F10&amp;B16&amp;"国有建设用地使用权"</f>
        <v>出让国有建设用地使用权</v>
      </c>
      <c r="L2" s="3020"/>
      <c r="M2" s="3020"/>
      <c r="N2" s="3021"/>
      <c r="O2" s="3022"/>
      <c r="P2" s="3021"/>
      <c r="Q2" s="3021"/>
      <c r="R2" s="3021"/>
      <c r="S2" s="3021"/>
      <c r="T2" s="3021"/>
      <c r="U2" s="3021"/>
    </row>
    <row r="3" spans="1:21">
      <c r="A3" s="1562" t="s">
        <v>1913</v>
      </c>
      <c r="B3" s="1563"/>
      <c r="C3" s="2964" t="s">
        <v>1969</v>
      </c>
      <c r="D3" s="1563">
        <v>44574</v>
      </c>
      <c r="E3" s="3041"/>
      <c r="F3" s="3041"/>
      <c r="G3" s="3041"/>
      <c r="H3" s="3042"/>
      <c r="I3" s="3043"/>
      <c r="J3" s="3041"/>
      <c r="K3" s="3024"/>
      <c r="L3" s="3020"/>
      <c r="M3" s="3020"/>
      <c r="N3" s="3021"/>
      <c r="O3" s="3022"/>
      <c r="P3" s="3021"/>
      <c r="Q3" s="3021"/>
      <c r="R3" s="3021"/>
      <c r="S3" s="3021"/>
      <c r="T3" s="3021"/>
      <c r="U3" s="3021"/>
    </row>
    <row r="4" spans="1:21" ht="15" thickBot="1">
      <c r="A4" s="1565" t="s">
        <v>1914</v>
      </c>
      <c r="B4" s="1730" t="s">
        <v>3494</v>
      </c>
      <c r="C4" s="1733">
        <f ca="1">SUMIF(土地估价师,B4,估价师及机构信息!E3:E16)</f>
        <v>2002110030</v>
      </c>
      <c r="D4" s="1730" t="s">
        <v>3495</v>
      </c>
      <c r="E4" s="1733">
        <f ca="1">SUMIF(土地估价师,D4,估价师及机构信息!E3:E16)</f>
        <v>2014110011</v>
      </c>
      <c r="F4" s="1730" t="s">
        <v>932</v>
      </c>
      <c r="G4" s="1733">
        <f>SUMIF(土地估价师,F4,估价师及机构信息!E3:E16)</f>
        <v>0</v>
      </c>
      <c r="H4" s="1730" t="s">
        <v>932</v>
      </c>
      <c r="I4" s="1733">
        <f>SUMIF(土地估价师,H4,估价师及机构信息!E3:E16)</f>
        <v>0</v>
      </c>
      <c r="J4" s="3041"/>
      <c r="K4" s="2283" t="str">
        <f>IF(AND(F4="——",H4="——"),B4&amp;"、"&amp;D4,IF(AND(F4&lt;&gt;"——",H4="——"),B4&amp;"、"&amp;D4&amp;"、"&amp;F4,B4&amp;"、"&amp;D4&amp;"、"&amp;F4&amp;"、"&amp;H4))</f>
        <v>王鹏、郑燚</v>
      </c>
      <c r="L4" s="3020"/>
      <c r="M4" s="3020"/>
      <c r="N4" s="3021"/>
      <c r="O4" s="3022"/>
      <c r="P4" s="3021"/>
      <c r="Q4" s="3021"/>
      <c r="R4" s="3021"/>
      <c r="S4" s="3021"/>
      <c r="T4" s="3021"/>
      <c r="U4" s="3021"/>
    </row>
    <row r="5" spans="1:21" ht="15" thickTop="1">
      <c r="A5" s="1566" t="s">
        <v>1915</v>
      </c>
      <c r="B5" s="1677"/>
      <c r="C5" s="1567"/>
      <c r="D5" s="1568"/>
      <c r="E5" s="3041"/>
      <c r="F5" s="3041"/>
      <c r="G5" s="3041"/>
      <c r="H5" s="3042"/>
      <c r="I5" s="3043"/>
      <c r="J5" s="3041"/>
      <c r="K5" s="3024"/>
      <c r="L5" s="3020"/>
      <c r="M5" s="3020"/>
      <c r="N5" s="3021"/>
      <c r="O5" s="3022"/>
      <c r="P5" s="3021"/>
      <c r="Q5" s="3021"/>
      <c r="R5" s="3021"/>
      <c r="S5" s="3021"/>
      <c r="T5" s="3021"/>
      <c r="U5" s="3021"/>
    </row>
    <row r="6" spans="1:21" ht="26.25">
      <c r="A6" s="1564" t="s">
        <v>2665</v>
      </c>
      <c r="B6" s="1677"/>
      <c r="C6" s="1652"/>
      <c r="D6" s="1569"/>
      <c r="E6" s="3041"/>
      <c r="F6" s="3041"/>
      <c r="G6" s="3041"/>
      <c r="H6" s="3042"/>
      <c r="I6" s="3043"/>
      <c r="J6" s="3041"/>
      <c r="K6" s="3025" t="str">
        <f>IF(COUNTIF(B6,"*上海银行*"),"上海银行","")</f>
        <v/>
      </c>
      <c r="L6" s="3020"/>
      <c r="M6" s="3020"/>
      <c r="N6" s="3021"/>
      <c r="O6" s="3022"/>
      <c r="P6" s="3021"/>
      <c r="Q6" s="3021"/>
      <c r="R6" s="3021"/>
      <c r="S6" s="3021"/>
      <c r="T6" s="3021"/>
      <c r="U6" s="3021"/>
    </row>
    <row r="7" spans="1:21">
      <c r="A7" s="1570" t="s">
        <v>2666</v>
      </c>
      <c r="B7" s="1677"/>
      <c r="C7" s="1652"/>
      <c r="D7" s="1569"/>
      <c r="E7" s="3041"/>
      <c r="F7" s="3041"/>
      <c r="G7" s="3041"/>
      <c r="H7" s="3042"/>
      <c r="I7" s="3043"/>
      <c r="J7" s="3041"/>
      <c r="K7" s="3024"/>
      <c r="L7" s="3020"/>
      <c r="M7" s="3020"/>
      <c r="N7" s="3021"/>
      <c r="O7" s="3022"/>
      <c r="P7" s="3021"/>
      <c r="Q7" s="3021"/>
      <c r="R7" s="3021"/>
      <c r="S7" s="3021"/>
      <c r="T7" s="3021"/>
      <c r="U7" s="3021"/>
    </row>
    <row r="8" spans="1:21">
      <c r="A8" s="2965" t="s">
        <v>1916</v>
      </c>
      <c r="B8" s="1571" t="s">
        <v>2931</v>
      </c>
      <c r="C8" s="1572"/>
      <c r="D8" s="3356" t="s">
        <v>1918</v>
      </c>
      <c r="E8" s="1731"/>
      <c r="F8" s="1573"/>
      <c r="G8" s="3042"/>
      <c r="H8" s="3042"/>
      <c r="I8" s="3045"/>
      <c r="J8" s="3041"/>
      <c r="K8" s="3024"/>
      <c r="L8" s="3020"/>
      <c r="M8" s="3020"/>
      <c r="N8" s="3021"/>
      <c r="O8" s="3022"/>
      <c r="P8" s="3021"/>
      <c r="Q8" s="3021"/>
      <c r="R8" s="3021"/>
      <c r="S8" s="3021"/>
      <c r="T8" s="3021"/>
      <c r="U8" s="3021"/>
    </row>
    <row r="9" spans="1:21" ht="15" thickBot="1">
      <c r="A9" s="2966" t="s">
        <v>1917</v>
      </c>
      <c r="B9" s="1574"/>
      <c r="C9" s="1575"/>
      <c r="D9" s="3357"/>
      <c r="E9" s="1574"/>
      <c r="F9" s="1638"/>
      <c r="G9" s="3046"/>
      <c r="H9" s="3046"/>
      <c r="I9" s="3047"/>
      <c r="J9" s="3041"/>
      <c r="K9" s="3024"/>
      <c r="L9" s="3020"/>
      <c r="M9" s="3020"/>
      <c r="N9" s="3021"/>
      <c r="O9" s="3022"/>
      <c r="P9" s="3021"/>
      <c r="Q9" s="3021"/>
      <c r="R9" s="3021"/>
      <c r="S9" s="3021"/>
      <c r="T9" s="3021"/>
      <c r="U9" s="3021"/>
    </row>
    <row r="10" spans="1:21" ht="15" thickTop="1">
      <c r="A10" s="2967" t="s">
        <v>1973</v>
      </c>
      <c r="B10" s="1614"/>
      <c r="C10" s="1576"/>
      <c r="D10" s="1568"/>
      <c r="E10" s="1577" t="s">
        <v>1920</v>
      </c>
      <c r="F10" s="1578"/>
      <c r="G10" s="1636"/>
      <c r="H10" s="1637"/>
      <c r="I10" s="1568"/>
      <c r="J10" s="3041"/>
      <c r="K10" s="3024"/>
      <c r="L10" s="3020"/>
      <c r="M10" s="3020"/>
      <c r="N10" s="3021"/>
      <c r="O10" s="3022"/>
      <c r="P10" s="3021"/>
      <c r="Q10" s="3021"/>
      <c r="R10" s="3021"/>
      <c r="S10" s="3021"/>
      <c r="T10" s="3021"/>
      <c r="U10" s="3021"/>
    </row>
    <row r="11" spans="1:21">
      <c r="A11" s="2968" t="s">
        <v>1974</v>
      </c>
      <c r="B11" s="1593"/>
      <c r="C11" s="1579"/>
      <c r="D11" s="1653"/>
      <c r="E11" s="3040"/>
      <c r="F11" s="3040"/>
      <c r="G11" s="3040"/>
      <c r="H11" s="3040"/>
      <c r="I11" s="3040"/>
      <c r="J11" s="3041"/>
      <c r="K11" s="3024"/>
      <c r="L11" s="3020"/>
      <c r="M11" s="3020"/>
      <c r="N11" s="3021"/>
      <c r="O11" s="3022"/>
      <c r="P11" s="3021"/>
      <c r="Q11" s="3021"/>
      <c r="R11" s="3021"/>
      <c r="S11" s="3021"/>
      <c r="T11" s="3021"/>
      <c r="U11" s="3021"/>
    </row>
    <row r="12" spans="1:21">
      <c r="A12" s="1673" t="s">
        <v>2032</v>
      </c>
      <c r="B12" s="3353"/>
      <c r="C12" s="3354"/>
      <c r="D12" s="3355"/>
      <c r="E12" s="1594" t="s">
        <v>2035</v>
      </c>
      <c r="F12" s="3371" t="s">
        <v>2844</v>
      </c>
      <c r="G12" s="3372"/>
      <c r="H12" s="3372"/>
      <c r="I12" s="3373"/>
      <c r="J12" s="3041"/>
      <c r="K12" s="3024"/>
      <c r="L12" s="3020"/>
      <c r="M12" s="3020"/>
      <c r="N12" s="3021"/>
      <c r="O12" s="3022"/>
      <c r="P12" s="3021"/>
      <c r="Q12" s="3021"/>
      <c r="R12" s="3021"/>
      <c r="S12" s="3021"/>
      <c r="T12" s="3021"/>
      <c r="U12" s="3021"/>
    </row>
    <row r="13" spans="1:21">
      <c r="A13" s="1585" t="s">
        <v>2033</v>
      </c>
      <c r="B13" s="3353"/>
      <c r="C13" s="3354"/>
      <c r="D13" s="3355"/>
      <c r="E13" s="1594" t="s">
        <v>2035</v>
      </c>
      <c r="F13" s="3371" t="s">
        <v>2845</v>
      </c>
      <c r="G13" s="3372"/>
      <c r="H13" s="3372"/>
      <c r="I13" s="3373"/>
      <c r="J13" s="3041"/>
      <c r="K13" s="3024"/>
      <c r="L13" s="3020"/>
      <c r="M13" s="3020"/>
      <c r="N13" s="3021"/>
      <c r="O13" s="3022"/>
      <c r="P13" s="3021"/>
      <c r="Q13" s="3021"/>
      <c r="R13" s="3021"/>
      <c r="S13" s="3021"/>
      <c r="T13" s="3021"/>
      <c r="U13" s="3021"/>
    </row>
    <row r="14" spans="1:21">
      <c r="A14" s="1562" t="s">
        <v>2036</v>
      </c>
      <c r="B14" s="1594"/>
      <c r="C14" s="1732"/>
      <c r="D14" s="1628" t="str">
        <f>IF(C14="不一致","是否符合证载地类范围","")</f>
        <v/>
      </c>
      <c r="E14" s="1594"/>
      <c r="F14" s="1678"/>
      <c r="G14" s="1623"/>
      <c r="H14" s="1623"/>
      <c r="I14" s="1725"/>
      <c r="J14" s="3041"/>
      <c r="K14" s="3024"/>
      <c r="L14" s="3020"/>
      <c r="M14" s="3020"/>
      <c r="N14" s="3021"/>
      <c r="O14" s="3022"/>
      <c r="P14" s="3021"/>
      <c r="Q14" s="3021"/>
      <c r="R14" s="3021"/>
      <c r="S14" s="3021"/>
      <c r="T14" s="3021"/>
      <c r="U14" s="3021"/>
    </row>
    <row r="15" spans="1:21" hidden="1">
      <c r="A15" s="2457"/>
      <c r="B15" s="1564"/>
      <c r="C15" s="1564"/>
      <c r="D15" s="1657" t="s">
        <v>1923</v>
      </c>
      <c r="E15" s="1657" t="s">
        <v>1924</v>
      </c>
      <c r="F15" s="1657" t="s">
        <v>1925</v>
      </c>
      <c r="G15" s="1584" t="s">
        <v>1926</v>
      </c>
      <c r="H15" s="1584" t="s">
        <v>1927</v>
      </c>
      <c r="I15" s="1584" t="s">
        <v>1928</v>
      </c>
      <c r="J15" s="3041"/>
      <c r="K15" s="3024"/>
      <c r="L15" s="3020"/>
      <c r="M15" s="3020"/>
      <c r="N15" s="3021"/>
      <c r="O15" s="3022"/>
      <c r="P15" s="3021"/>
      <c r="Q15" s="3021"/>
      <c r="R15" s="3021"/>
      <c r="S15" s="3021"/>
      <c r="T15" s="3021"/>
      <c r="U15" s="3021"/>
    </row>
    <row r="16" spans="1:21" ht="28.5">
      <c r="A16" s="2969" t="s">
        <v>1921</v>
      </c>
      <c r="B16" s="1580" t="s">
        <v>2988</v>
      </c>
      <c r="C16" s="1594" t="s">
        <v>1922</v>
      </c>
      <c r="D16" s="2458" t="s">
        <v>1923</v>
      </c>
      <c r="E16" s="1617" t="s">
        <v>2987</v>
      </c>
      <c r="F16" s="1617"/>
      <c r="G16" s="1617"/>
      <c r="H16" s="1617"/>
      <c r="I16" s="1584" t="s">
        <v>1928</v>
      </c>
      <c r="J16" s="3041"/>
      <c r="K16" s="2284" t="str">
        <f>IF(D17="","",D16&amp;TEXT(D17,"yyyy年m月d日;;"))</f>
        <v>住宅2091年3月9日</v>
      </c>
      <c r="L16" s="1594" t="str">
        <f>IF(OR(K16="",M16=""),"","、")</f>
        <v>、</v>
      </c>
      <c r="M16" s="2284" t="str">
        <f>IF(E17="","",E16&amp;TEXT(E17,"yyyy年m月d日;;"))</f>
        <v>商业2061年3月9日</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
      </c>
    </row>
    <row r="17" spans="1:21">
      <c r="A17" s="1654"/>
      <c r="B17" s="1581"/>
      <c r="C17" s="2970" t="s">
        <v>1929</v>
      </c>
      <c r="D17" s="1595">
        <v>69831</v>
      </c>
      <c r="E17" s="1595">
        <v>58874</v>
      </c>
      <c r="F17" s="1595"/>
      <c r="G17" s="1595"/>
      <c r="H17" s="1595"/>
      <c r="I17" s="1595"/>
      <c r="J17" s="3041"/>
      <c r="K17" s="3019" t="str">
        <f>CONCATENATE(K16,L16,M16,N16,O16,P16,Q16,R16,S16,T16,,U16)</f>
        <v>住宅2091年3月9日、商业2061年3月9日</v>
      </c>
      <c r="L17" s="3020"/>
      <c r="M17" s="3020"/>
      <c r="N17" s="3021"/>
      <c r="O17" s="3022"/>
      <c r="P17" s="3021"/>
      <c r="Q17" s="3021"/>
      <c r="R17" s="3021"/>
      <c r="S17" s="3021"/>
      <c r="T17" s="3021"/>
      <c r="U17" s="3021"/>
    </row>
    <row r="18" spans="1:21">
      <c r="A18" s="1654"/>
      <c r="B18" s="1581"/>
      <c r="C18" s="2970" t="s">
        <v>1930</v>
      </c>
      <c r="D18" s="1582">
        <v>70</v>
      </c>
      <c r="E18" s="1582">
        <v>40</v>
      </c>
      <c r="F18" s="1582"/>
      <c r="G18" s="1582"/>
      <c r="H18" s="1582"/>
      <c r="I18" s="1582"/>
      <c r="J18" s="3041"/>
      <c r="K18" s="3024"/>
      <c r="L18" s="3020"/>
      <c r="M18" s="3020"/>
      <c r="N18" s="3021"/>
      <c r="O18" s="3022"/>
      <c r="P18" s="3021"/>
      <c r="Q18" s="3021"/>
      <c r="R18" s="3021"/>
      <c r="S18" s="3021"/>
      <c r="T18" s="3021"/>
      <c r="U18" s="3021"/>
    </row>
    <row r="19" spans="1:21">
      <c r="A19" s="1654"/>
      <c r="B19" s="1581"/>
      <c r="C19" s="1561" t="s">
        <v>1931</v>
      </c>
      <c r="D19" s="1649">
        <f>IF(B16="出让",IF(D17="","",ROUNDDOWN(MIN((D17-$D$3)/365,D18),2)),D18)</f>
        <v>69.19</v>
      </c>
      <c r="E19" s="1583">
        <f>IF(B16="出让",IF(E17="","",ROUNDDOWN(MIN((E17-$D$3)/365,E18),2)),E18)</f>
        <v>39.17</v>
      </c>
      <c r="F19" s="1583" t="str">
        <f>IF(B16="出让",IF(F17="","",ROUNDDOWN(MIN((F17-$D$3)/365,F18),2)),F18)</f>
        <v/>
      </c>
      <c r="G19" s="1583" t="str">
        <f>IF(B16="出让",IF(G17="","",ROUNDDOWN(MIN((G17-$D$3)/365,G18),2)),G18)</f>
        <v/>
      </c>
      <c r="H19" s="1583" t="str">
        <f>IF(B16="出让",IF(H17="","",ROUNDDOWN(MIN((H17-$D$3)/365,H18),2)),H18)</f>
        <v/>
      </c>
      <c r="I19" s="1583" t="str">
        <f>IF(B16="出让",IF(I17="","",ROUNDDOWN(MIN((I17-$D$3)/365,I18),2)),I18)</f>
        <v/>
      </c>
      <c r="J19" s="3041"/>
      <c r="K19" s="3024"/>
      <c r="L19" s="3020"/>
      <c r="M19" s="3020"/>
      <c r="N19" s="3021"/>
      <c r="O19" s="3022"/>
      <c r="P19" s="3021"/>
      <c r="Q19" s="3021"/>
      <c r="R19" s="3021"/>
      <c r="S19" s="3021"/>
      <c r="T19" s="3021"/>
      <c r="U19" s="3021"/>
    </row>
    <row r="20" spans="1:21">
      <c r="A20" s="1674"/>
      <c r="B20" s="1675"/>
      <c r="C20" s="1676" t="s">
        <v>2034</v>
      </c>
      <c r="D20" s="3368"/>
      <c r="E20" s="3369"/>
      <c r="F20" s="3369"/>
      <c r="G20" s="3369"/>
      <c r="H20" s="3369"/>
      <c r="I20" s="3370"/>
      <c r="J20" s="3041"/>
      <c r="K20" s="3024"/>
      <c r="L20" s="3020"/>
      <c r="M20" s="3020"/>
      <c r="N20" s="3021"/>
      <c r="O20" s="3022"/>
      <c r="P20" s="3021"/>
      <c r="Q20" s="3021"/>
      <c r="R20" s="3021"/>
      <c r="S20" s="3021"/>
      <c r="T20" s="3021"/>
      <c r="U20" s="3021"/>
    </row>
    <row r="21" spans="1:21">
      <c r="A21" s="1654" t="s">
        <v>1932</v>
      </c>
      <c r="B21" s="1655" t="s">
        <v>1933</v>
      </c>
      <c r="C21" s="1650">
        <f>'数据-汇总表'!E3</f>
        <v>104454</v>
      </c>
      <c r="D21" s="1651" t="s">
        <v>1934</v>
      </c>
      <c r="E21" s="3358" t="s">
        <v>1972</v>
      </c>
      <c r="F21" s="3359"/>
      <c r="G21" s="3359"/>
      <c r="H21" s="3359"/>
      <c r="I21" s="3360"/>
      <c r="J21" s="3041"/>
      <c r="K21" s="3024"/>
      <c r="L21" s="3020"/>
      <c r="M21" s="3020"/>
      <c r="N21" s="3021"/>
      <c r="O21" s="3022"/>
      <c r="P21" s="3021"/>
      <c r="Q21" s="3021"/>
      <c r="R21" s="3021"/>
      <c r="S21" s="3021"/>
      <c r="T21" s="3021"/>
      <c r="U21" s="3021"/>
    </row>
    <row r="22" spans="1:21">
      <c r="A22" s="2769" t="s">
        <v>932</v>
      </c>
      <c r="B22" s="1562" t="s">
        <v>1935</v>
      </c>
      <c r="C22" s="1584">
        <f>'数据-汇总表'!D3</f>
        <v>34818</v>
      </c>
      <c r="D22" s="1585" t="s">
        <v>1934</v>
      </c>
      <c r="E22" s="3358" t="s">
        <v>2846</v>
      </c>
      <c r="F22" s="3359"/>
      <c r="G22" s="3359"/>
      <c r="H22" s="3359"/>
      <c r="I22" s="3360"/>
      <c r="J22" s="3041"/>
      <c r="K22" s="3024"/>
      <c r="L22" s="3020"/>
      <c r="M22" s="3020"/>
      <c r="N22" s="3021"/>
      <c r="O22" s="3022"/>
      <c r="P22" s="3021"/>
      <c r="Q22" s="3021"/>
      <c r="R22" s="3021"/>
      <c r="S22" s="3021"/>
      <c r="T22" s="3021"/>
      <c r="U22" s="3021"/>
    </row>
    <row r="23" spans="1:21" ht="43.5" thickBot="1">
      <c r="A23" s="1656" t="s">
        <v>1936</v>
      </c>
      <c r="B23" s="1596" t="s">
        <v>1937</v>
      </c>
      <c r="C23" s="1597"/>
      <c r="D23" s="1598" t="s">
        <v>1938</v>
      </c>
      <c r="E23" s="1599"/>
      <c r="F23" s="1600" t="str">
        <f>IF(AND(C23="是",E23="否"),"是否提供他项权证或相关说明","")</f>
        <v/>
      </c>
      <c r="G23" s="1601"/>
      <c r="H23" s="3041"/>
      <c r="I23" s="3045"/>
      <c r="J23" s="3041"/>
      <c r="K23" s="3024"/>
      <c r="L23" s="3020"/>
      <c r="M23" s="3020"/>
      <c r="N23" s="3021"/>
      <c r="O23" s="3022"/>
      <c r="P23" s="3021"/>
      <c r="Q23" s="3021"/>
      <c r="R23" s="3021"/>
      <c r="S23" s="3021"/>
      <c r="T23" s="3021"/>
      <c r="U23" s="3021"/>
    </row>
    <row r="24" spans="1:21">
      <c r="A24" s="1641" t="s">
        <v>1939</v>
      </c>
      <c r="B24" s="3361" t="s">
        <v>1940</v>
      </c>
      <c r="C24" s="3362"/>
      <c r="D24" s="3363" t="s">
        <v>1941</v>
      </c>
      <c r="E24" s="3364"/>
      <c r="F24" s="1603" t="s">
        <v>1942</v>
      </c>
      <c r="G24" s="3041"/>
      <c r="H24" s="3041"/>
      <c r="I24" s="3045"/>
      <c r="J24" s="3041"/>
      <c r="K24" s="3349"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3021"/>
      <c r="O24" s="3022"/>
      <c r="P24" s="3021"/>
      <c r="Q24" s="3021"/>
      <c r="R24" s="3021"/>
      <c r="S24" s="3021"/>
      <c r="T24" s="3021"/>
      <c r="U24" s="3021"/>
    </row>
    <row r="25" spans="1:21" ht="28.5">
      <c r="A25" s="1642"/>
      <c r="B25" s="1639" t="s">
        <v>2297</v>
      </c>
      <c r="C25" s="1604" t="s">
        <v>1944</v>
      </c>
      <c r="D25" s="1605"/>
      <c r="E25" s="1606" t="s">
        <v>932</v>
      </c>
      <c r="F25" s="1607"/>
      <c r="G25" s="3041"/>
      <c r="H25" s="3041"/>
      <c r="I25" s="3045"/>
      <c r="J25" s="3041"/>
      <c r="K25" s="3349"/>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3021"/>
      <c r="O25" s="3022"/>
      <c r="P25" s="3021"/>
      <c r="Q25" s="3021"/>
      <c r="R25" s="3021"/>
      <c r="S25" s="3021"/>
      <c r="T25" s="3021"/>
      <c r="U25" s="3021"/>
    </row>
    <row r="26" spans="1:21" ht="29.25" thickBot="1">
      <c r="A26" s="1643"/>
      <c r="B26" s="1640" t="s">
        <v>1945</v>
      </c>
      <c r="C26" s="1604" t="s">
        <v>2298</v>
      </c>
      <c r="D26" s="3042"/>
      <c r="E26" s="3042"/>
      <c r="F26" s="3048"/>
      <c r="G26" s="3041"/>
      <c r="H26" s="3041"/>
      <c r="I26" s="3045"/>
      <c r="J26" s="3041"/>
      <c r="K26" s="3349"/>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3021"/>
      <c r="O26" s="3022"/>
      <c r="P26" s="3021"/>
      <c r="Q26" s="3021"/>
      <c r="R26" s="3021"/>
      <c r="S26" s="3021"/>
      <c r="T26" s="3021"/>
      <c r="U26" s="3021"/>
    </row>
    <row r="27" spans="1:21">
      <c r="A27" s="1646" t="s">
        <v>1946</v>
      </c>
      <c r="B27" s="1644" t="s">
        <v>1947</v>
      </c>
      <c r="C27" s="1608"/>
      <c r="D27" s="2463" t="s">
        <v>1947</v>
      </c>
      <c r="E27" s="1609"/>
      <c r="F27" s="3048"/>
      <c r="G27" s="3041"/>
      <c r="H27" s="3041"/>
      <c r="I27" s="3045"/>
      <c r="J27" s="3041"/>
      <c r="K27" s="3024"/>
      <c r="L27" s="3020"/>
      <c r="M27" s="3020"/>
      <c r="N27" s="3021"/>
      <c r="O27" s="3022"/>
      <c r="P27" s="3021"/>
      <c r="Q27" s="3021"/>
      <c r="R27" s="3021"/>
      <c r="S27" s="3021"/>
      <c r="T27" s="3021"/>
      <c r="U27" s="3021"/>
    </row>
    <row r="28" spans="1:21">
      <c r="A28" s="1647"/>
      <c r="B28" s="1644" t="s">
        <v>1948</v>
      </c>
      <c r="C28" s="1610"/>
      <c r="D28" s="2464" t="s">
        <v>1948</v>
      </c>
      <c r="E28" s="1611"/>
      <c r="F28" s="3048"/>
      <c r="G28" s="3041"/>
      <c r="H28" s="3041"/>
      <c r="I28" s="3045"/>
      <c r="J28" s="3041"/>
      <c r="K28" s="3024"/>
      <c r="L28" s="3020"/>
      <c r="M28" s="3020"/>
      <c r="N28" s="3021"/>
      <c r="O28" s="3022"/>
      <c r="P28" s="3021"/>
      <c r="Q28" s="3021"/>
      <c r="R28" s="3021"/>
      <c r="S28" s="3021"/>
      <c r="T28" s="3021"/>
      <c r="U28" s="3021"/>
    </row>
    <row r="29" spans="1:21">
      <c r="A29" s="1647"/>
      <c r="B29" s="1644" t="s">
        <v>1949</v>
      </c>
      <c r="C29" s="1610"/>
      <c r="D29" s="2464" t="s">
        <v>1949</v>
      </c>
      <c r="E29" s="1611"/>
      <c r="F29" s="3048"/>
      <c r="G29" s="3041"/>
      <c r="H29" s="3041"/>
      <c r="I29" s="3045"/>
      <c r="J29" s="3041"/>
      <c r="K29" s="3024"/>
      <c r="L29" s="3020"/>
      <c r="M29" s="3020"/>
      <c r="N29" s="3021"/>
      <c r="O29" s="3022"/>
      <c r="P29" s="3021"/>
      <c r="Q29" s="3021"/>
      <c r="R29" s="3021"/>
      <c r="S29" s="3021"/>
      <c r="T29" s="3021"/>
      <c r="U29" s="3021"/>
    </row>
    <row r="30" spans="1:21" ht="15" thickBot="1">
      <c r="A30" s="1648"/>
      <c r="B30" s="1645" t="s">
        <v>1950</v>
      </c>
      <c r="C30" s="1612"/>
      <c r="D30" s="2465" t="s">
        <v>1950</v>
      </c>
      <c r="E30" s="1613"/>
      <c r="F30" s="3049"/>
      <c r="G30" s="3046"/>
      <c r="H30" s="3046"/>
      <c r="I30" s="3047"/>
      <c r="J30" s="3041"/>
      <c r="K30" s="3024"/>
      <c r="L30" s="3020"/>
      <c r="M30" s="3020"/>
      <c r="N30" s="3021"/>
      <c r="O30" s="3022"/>
      <c r="P30" s="3021"/>
      <c r="Q30" s="3021"/>
      <c r="R30" s="3021"/>
      <c r="S30" s="3021"/>
      <c r="T30" s="3021"/>
      <c r="U30" s="3021"/>
    </row>
    <row r="31" spans="1:21" ht="15" thickTop="1">
      <c r="A31" s="3335" t="s">
        <v>1975</v>
      </c>
      <c r="B31" s="1655" t="s">
        <v>1976</v>
      </c>
      <c r="C31" s="3374"/>
      <c r="D31" s="3375"/>
      <c r="E31" s="3041"/>
      <c r="F31" s="3041"/>
      <c r="G31" s="3041"/>
      <c r="H31" s="3041"/>
      <c r="I31" s="3045"/>
      <c r="J31" s="3041"/>
      <c r="K31" s="3027"/>
      <c r="L31" s="3021"/>
      <c r="M31" s="3021"/>
      <c r="N31" s="3021"/>
      <c r="O31" s="3021"/>
      <c r="P31" s="3021"/>
      <c r="Q31" s="3021"/>
      <c r="R31" s="3021"/>
      <c r="S31" s="3021"/>
      <c r="T31" s="3021"/>
      <c r="U31" s="3021"/>
    </row>
    <row r="32" spans="1:21">
      <c r="A32" s="3335"/>
      <c r="B32" s="1562" t="s">
        <v>1977</v>
      </c>
      <c r="C32" s="1614"/>
      <c r="D32" s="1615"/>
      <c r="E32" s="3041"/>
      <c r="F32" s="3041"/>
      <c r="G32" s="3041"/>
      <c r="H32" s="3041"/>
      <c r="I32" s="3045"/>
      <c r="J32" s="3041"/>
      <c r="K32" s="3027"/>
      <c r="L32" s="3021"/>
      <c r="M32" s="3021"/>
      <c r="N32" s="3021"/>
      <c r="O32" s="3021"/>
      <c r="P32" s="3021"/>
      <c r="Q32" s="3021"/>
      <c r="R32" s="3021"/>
      <c r="S32" s="3021"/>
      <c r="T32" s="3021"/>
      <c r="U32" s="3021"/>
    </row>
    <row r="33" spans="1:28">
      <c r="A33" s="3335"/>
      <c r="B33" s="1562" t="s">
        <v>1978</v>
      </c>
      <c r="C33" s="1616"/>
      <c r="D33" s="1726"/>
      <c r="E33" s="3041"/>
      <c r="F33" s="3041"/>
      <c r="G33" s="3041"/>
      <c r="H33" s="3041"/>
      <c r="I33" s="3045"/>
      <c r="J33" s="3041"/>
      <c r="K33" s="3027"/>
      <c r="L33" s="3021"/>
      <c r="M33" s="3021"/>
      <c r="N33" s="3021"/>
      <c r="O33" s="3021"/>
      <c r="P33" s="3021"/>
      <c r="Q33" s="3021"/>
      <c r="R33" s="3021"/>
      <c r="S33" s="3021"/>
      <c r="T33" s="3021"/>
      <c r="U33" s="3021"/>
    </row>
    <row r="34" spans="1:28">
      <c r="A34" s="3336"/>
      <c r="B34" s="1562" t="s">
        <v>1979</v>
      </c>
      <c r="C34" s="3337"/>
      <c r="D34" s="3338"/>
      <c r="E34" s="3041"/>
      <c r="F34" s="3041"/>
      <c r="G34" s="3041"/>
      <c r="H34" s="3041"/>
      <c r="I34" s="3045"/>
      <c r="J34" s="3041"/>
      <c r="K34" s="3027"/>
      <c r="L34" s="3021"/>
      <c r="M34" s="3021"/>
      <c r="N34" s="3021"/>
      <c r="O34" s="3021"/>
      <c r="P34" s="3021"/>
      <c r="Q34" s="3021"/>
      <c r="R34" s="3021"/>
      <c r="S34" s="3021"/>
      <c r="T34" s="3021"/>
      <c r="U34" s="3021"/>
    </row>
    <row r="35" spans="1:28">
      <c r="A35" s="3339" t="s">
        <v>828</v>
      </c>
      <c r="B35" s="1617"/>
      <c r="C35" s="1664" t="str">
        <f>IF(B35="场地平整","——","具体情况：")</f>
        <v>具体情况：</v>
      </c>
      <c r="D35" s="3341"/>
      <c r="E35" s="3342"/>
      <c r="F35" s="3342"/>
      <c r="G35" s="3342"/>
      <c r="H35" s="3342"/>
      <c r="I35" s="3343"/>
      <c r="J35" s="3041"/>
      <c r="K35" s="3028"/>
      <c r="L35" s="3020"/>
      <c r="M35" s="3020"/>
      <c r="N35" s="3021"/>
      <c r="O35" s="3022"/>
      <c r="P35" s="3021"/>
      <c r="Q35" s="3021"/>
      <c r="R35" s="3021"/>
      <c r="S35" s="3021"/>
      <c r="T35" s="3021"/>
      <c r="U35" s="3021"/>
    </row>
    <row r="36" spans="1:28">
      <c r="A36" s="3335"/>
      <c r="B36" s="3344" t="s">
        <v>2028</v>
      </c>
      <c r="C36" s="3345"/>
      <c r="D36" s="1680"/>
      <c r="E36" s="3346"/>
      <c r="F36" s="3346"/>
      <c r="G36" s="1585" t="str">
        <f>IF(B35="场地未平整","估价结果处理","")</f>
        <v/>
      </c>
      <c r="H36" s="3347"/>
      <c r="I36" s="3347"/>
      <c r="J36" s="3041"/>
      <c r="K36" s="3028"/>
      <c r="L36" s="3020"/>
      <c r="M36" s="3020"/>
      <c r="N36" s="3021"/>
      <c r="O36" s="3022"/>
      <c r="P36" s="3021"/>
      <c r="Q36" s="3021"/>
      <c r="R36" s="3021"/>
      <c r="S36" s="3021"/>
      <c r="T36" s="3021"/>
      <c r="U36" s="3021"/>
    </row>
    <row r="37" spans="1:28" ht="28.5">
      <c r="A37" s="3335"/>
      <c r="B37" s="3365" t="s">
        <v>829</v>
      </c>
      <c r="C37" s="1619" t="s">
        <v>830</v>
      </c>
      <c r="D37" s="1620"/>
      <c r="E37" s="1621"/>
      <c r="F37" s="3041"/>
      <c r="G37" s="3041"/>
      <c r="H37" s="3041"/>
      <c r="I37" s="3045"/>
      <c r="J37" s="3041"/>
      <c r="K37" s="3028"/>
      <c r="L37" s="3021"/>
      <c r="M37" s="3021"/>
      <c r="N37" s="3021"/>
      <c r="O37" s="3021"/>
      <c r="P37" s="3021"/>
      <c r="Q37" s="3021"/>
      <c r="R37" s="3021"/>
      <c r="S37" s="3021"/>
      <c r="T37" s="3021"/>
      <c r="U37" s="3021"/>
    </row>
    <row r="38" spans="1:28">
      <c r="A38" s="3335"/>
      <c r="B38" s="3366"/>
      <c r="C38" s="1570" t="s">
        <v>831</v>
      </c>
      <c r="D38" s="1679">
        <f>ROUNDDOWN(MIN(('数据-取费表'!$B$2-D37)/365,D34),1)</f>
        <v>122.1</v>
      </c>
      <c r="E38" s="1622" t="s">
        <v>832</v>
      </c>
      <c r="F38" s="3041"/>
      <c r="G38" s="3041"/>
      <c r="H38" s="3041"/>
      <c r="I38" s="3045"/>
      <c r="J38" s="3041"/>
      <c r="K38" s="3028"/>
      <c r="L38" s="3021"/>
      <c r="M38" s="3021"/>
      <c r="N38" s="3021"/>
      <c r="O38" s="3021"/>
      <c r="P38" s="3021"/>
      <c r="Q38" s="3021"/>
      <c r="R38" s="3021"/>
      <c r="S38" s="3021"/>
      <c r="T38" s="3021"/>
      <c r="U38" s="3021"/>
    </row>
    <row r="39" spans="1:28">
      <c r="A39" s="3336"/>
      <c r="B39" s="3367"/>
      <c r="C39" s="1592" t="str">
        <f>IF(D38&lt;1,"不存在土地闲置",IF(B35="宗地内已开工建设","已开工，不存在土地闲置","估价对象已涉嫌土地闲置"))</f>
        <v>估价对象已涉嫌土地闲置</v>
      </c>
      <c r="D39" s="1623"/>
      <c r="E39" s="1624"/>
      <c r="F39" s="3041"/>
      <c r="G39" s="3041"/>
      <c r="H39" s="3041"/>
      <c r="I39" s="3045"/>
      <c r="J39" s="3041"/>
      <c r="K39" s="3024"/>
      <c r="L39" s="3020"/>
      <c r="M39" s="3020"/>
      <c r="N39" s="3021"/>
      <c r="O39" s="3022"/>
      <c r="P39" s="3021"/>
      <c r="Q39" s="3021"/>
      <c r="R39" s="3021"/>
      <c r="S39" s="3021"/>
      <c r="T39" s="3021"/>
      <c r="U39" s="3021"/>
    </row>
    <row r="40" spans="1:28">
      <c r="A40" s="1585" t="s">
        <v>1951</v>
      </c>
      <c r="B40" s="1586"/>
      <c r="C40" s="1586"/>
      <c r="D40" s="1586"/>
      <c r="E40" s="1586"/>
      <c r="F40" s="1586"/>
      <c r="G40" s="1586"/>
      <c r="H40" s="1586"/>
      <c r="I40" s="3045"/>
      <c r="J40" s="3041"/>
      <c r="K40" s="2989">
        <f>COUNTIF(B40:H40,"——")</f>
        <v>0</v>
      </c>
      <c r="L40" s="1594" t="s">
        <v>1952</v>
      </c>
      <c r="M40" s="1591" t="s">
        <v>1953</v>
      </c>
      <c r="N40" s="1591" t="s">
        <v>1954</v>
      </c>
      <c r="O40" s="1591" t="s">
        <v>1955</v>
      </c>
      <c r="P40" s="1591" t="s">
        <v>1956</v>
      </c>
      <c r="Q40" s="1591" t="s">
        <v>1957</v>
      </c>
      <c r="R40" s="1591" t="s">
        <v>1958</v>
      </c>
      <c r="S40" s="3348" t="s">
        <v>1959</v>
      </c>
      <c r="T40" s="1626" t="str">
        <f>NUMBERSTRING(7-K40,1)&amp;"通"</f>
        <v>七通</v>
      </c>
      <c r="U40" s="3021"/>
    </row>
    <row r="41" spans="1:28">
      <c r="A41" s="1564"/>
      <c r="B41" s="3340" t="s">
        <v>1701</v>
      </c>
      <c r="C41" s="3340"/>
      <c r="D41" s="3340"/>
      <c r="E41" s="3340"/>
      <c r="F41" s="1627">
        <f>C10</f>
        <v>0</v>
      </c>
      <c r="G41" s="3041"/>
      <c r="H41" s="3041"/>
      <c r="I41" s="3045"/>
      <c r="J41" s="3041"/>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348"/>
      <c r="T41" s="1628" t="str">
        <f>IF(T40="一通",L41,IF(T40="二通",M41,IF(T40="三通",N41,IF(T40="四通",O41,IF(T40="五通",P41,IF(T40="六通",Q41,R41))))))</f>
        <v>、、、、、、</v>
      </c>
      <c r="U41" s="3021"/>
    </row>
    <row r="42" spans="1:28">
      <c r="A42" s="1630"/>
      <c r="B42" s="1657" t="s">
        <v>1873</v>
      </c>
      <c r="C42" s="1657" t="s">
        <v>1874</v>
      </c>
      <c r="D42" s="1657" t="s">
        <v>1875</v>
      </c>
      <c r="E42" s="1594" t="s">
        <v>1876</v>
      </c>
      <c r="F42" s="1631"/>
      <c r="G42" s="3041"/>
      <c r="H42" s="3041"/>
      <c r="I42" s="3045"/>
      <c r="J42" s="3041"/>
      <c r="K42" s="3024"/>
      <c r="L42" s="3020"/>
      <c r="M42" s="3020"/>
      <c r="N42" s="3021"/>
      <c r="O42" s="3022"/>
      <c r="P42" s="3021"/>
      <c r="Q42" s="3021"/>
      <c r="R42" s="3021"/>
      <c r="S42" s="3021"/>
      <c r="T42" s="3021"/>
      <c r="U42" s="3021"/>
    </row>
    <row r="43" spans="1:28">
      <c r="A43" s="2992" t="s">
        <v>1686</v>
      </c>
      <c r="B43" s="1632"/>
      <c r="C43" s="1632"/>
      <c r="D43" s="1632"/>
      <c r="E43" s="1632"/>
      <c r="F43" s="1633"/>
      <c r="G43" s="3041"/>
      <c r="H43" s="3041"/>
      <c r="I43" s="3045"/>
      <c r="J43" s="3041"/>
      <c r="K43" s="3024"/>
      <c r="L43" s="3020"/>
      <c r="M43" s="3020"/>
      <c r="N43" s="3021"/>
      <c r="O43" s="3022"/>
      <c r="P43" s="3021"/>
      <c r="Q43" s="3021"/>
      <c r="R43" s="3021"/>
      <c r="S43" s="3021"/>
      <c r="T43" s="3021"/>
      <c r="U43" s="3021"/>
    </row>
    <row r="44" spans="1:28">
      <c r="A44" s="2992" t="s">
        <v>1687</v>
      </c>
      <c r="B44" s="1632"/>
      <c r="C44" s="1632"/>
      <c r="D44" s="1632"/>
      <c r="E44" s="1680"/>
      <c r="F44" s="1633"/>
      <c r="G44" s="3041"/>
      <c r="H44" s="3041"/>
      <c r="I44" s="3045"/>
      <c r="J44" s="3041"/>
      <c r="K44" s="3024"/>
      <c r="L44" s="3020"/>
      <c r="M44" s="3020"/>
      <c r="N44" s="3021"/>
      <c r="O44" s="3022"/>
      <c r="P44" s="3021"/>
      <c r="Q44" s="3021"/>
      <c r="R44" s="3021"/>
      <c r="S44" s="3021"/>
      <c r="T44" s="3021"/>
      <c r="U44" s="3021"/>
    </row>
    <row r="45" spans="1:28" s="2740" customFormat="1" ht="21" thickBot="1">
      <c r="A45" s="2741" t="s">
        <v>2847</v>
      </c>
      <c r="B45" s="2739"/>
      <c r="C45" s="2739"/>
      <c r="D45" s="2739"/>
      <c r="E45" s="2739"/>
      <c r="F45" s="2739"/>
      <c r="G45" s="3031"/>
      <c r="H45" s="3031"/>
      <c r="I45" s="3032"/>
      <c r="J45" s="3044"/>
      <c r="K45" s="3029"/>
      <c r="L45" s="3030"/>
      <c r="M45" s="3030"/>
      <c r="N45" s="3031"/>
      <c r="O45" s="3032"/>
      <c r="P45" s="3031"/>
      <c r="Q45" s="3031"/>
      <c r="R45" s="3031"/>
      <c r="S45" s="3031"/>
      <c r="T45" s="3031"/>
      <c r="U45" s="3031"/>
      <c r="V45" s="3033"/>
      <c r="W45" s="3033"/>
      <c r="X45" s="3033"/>
      <c r="Y45" s="3033"/>
      <c r="Z45" s="3033"/>
      <c r="AA45" s="3033"/>
      <c r="AB45" s="3033"/>
    </row>
    <row r="46" spans="1:28">
      <c r="A46" s="1589"/>
      <c r="B46" s="1589"/>
      <c r="C46" s="1589"/>
      <c r="D46" s="1589"/>
      <c r="E46" s="1589"/>
      <c r="F46" s="1589"/>
      <c r="G46" s="1589"/>
      <c r="H46" s="1589"/>
      <c r="I46" s="1602"/>
      <c r="J46" s="1589"/>
      <c r="K46" s="3024"/>
      <c r="L46" s="3020"/>
      <c r="M46" s="3020"/>
      <c r="N46" s="3021"/>
      <c r="O46" s="3022"/>
      <c r="P46" s="3021"/>
      <c r="Q46" s="3021"/>
      <c r="R46" s="3021"/>
      <c r="S46" s="3021"/>
      <c r="T46" s="3021"/>
      <c r="U46" s="3021"/>
    </row>
    <row r="47" spans="1:28">
      <c r="A47" s="1634" t="s">
        <v>1980</v>
      </c>
      <c r="B47" s="1635"/>
      <c r="C47" s="1624"/>
      <c r="D47" s="1589"/>
      <c r="E47" s="1589"/>
      <c r="F47" s="1589"/>
      <c r="G47" s="1589"/>
      <c r="H47" s="1589"/>
      <c r="I47" s="1590"/>
      <c r="J47" s="1589"/>
      <c r="K47" s="3024"/>
      <c r="L47" s="3020"/>
      <c r="M47" s="3020"/>
      <c r="N47" s="3021"/>
      <c r="O47" s="3022"/>
      <c r="P47" s="3021"/>
      <c r="Q47" s="3021"/>
      <c r="R47" s="3021"/>
      <c r="S47" s="3021"/>
      <c r="T47" s="3021"/>
      <c r="U47" s="3021"/>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34" t="s">
        <v>1991</v>
      </c>
      <c r="L48" s="3034" t="s">
        <v>1992</v>
      </c>
      <c r="M48" s="3034" t="s">
        <v>1993</v>
      </c>
      <c r="N48" s="3035" t="s">
        <v>1994</v>
      </c>
      <c r="O48" s="3035" t="s">
        <v>1995</v>
      </c>
      <c r="P48" s="3035" t="s">
        <v>1996</v>
      </c>
      <c r="Q48" s="3026" t="s">
        <v>1997</v>
      </c>
      <c r="R48" s="3026" t="s">
        <v>1998</v>
      </c>
      <c r="S48" s="3021"/>
      <c r="T48" s="3021"/>
      <c r="U48" s="3021"/>
    </row>
    <row r="49" spans="1:21">
      <c r="A49" s="1591"/>
      <c r="B49" s="1625"/>
      <c r="C49" s="1625"/>
      <c r="D49" s="1625"/>
      <c r="E49" s="1625"/>
      <c r="F49" s="1625"/>
      <c r="G49" s="1625"/>
      <c r="H49" s="1625"/>
      <c r="I49" s="1625"/>
      <c r="J49" s="1727"/>
      <c r="K49" s="3036"/>
      <c r="L49" s="3036"/>
      <c r="M49" s="1631"/>
      <c r="N49" s="1631"/>
      <c r="O49" s="1631"/>
      <c r="P49" s="1631"/>
      <c r="Q49" s="1631"/>
      <c r="R49" s="1631"/>
      <c r="S49" s="3021"/>
      <c r="T49" s="3021"/>
      <c r="U49" s="3021"/>
    </row>
    <row r="50" spans="1:21">
      <c r="A50" s="1591"/>
      <c r="B50" s="1591"/>
      <c r="C50" s="1625"/>
      <c r="D50" s="1625"/>
      <c r="E50" s="1625"/>
      <c r="F50" s="1625"/>
      <c r="G50" s="1625"/>
      <c r="H50" s="1625"/>
      <c r="I50" s="1625"/>
      <c r="J50" s="1727"/>
      <c r="K50" s="3036"/>
      <c r="L50" s="3036"/>
      <c r="M50" s="1631"/>
      <c r="N50" s="1631"/>
      <c r="O50" s="1631"/>
      <c r="P50" s="1631"/>
      <c r="Q50" s="1631"/>
      <c r="R50" s="1631"/>
      <c r="S50" s="3021"/>
      <c r="T50" s="3021"/>
      <c r="U50" s="3021"/>
    </row>
    <row r="51" spans="1:21">
      <c r="A51" s="1591"/>
      <c r="B51" s="1591"/>
      <c r="C51" s="1625"/>
      <c r="D51" s="1625"/>
      <c r="E51" s="1625"/>
      <c r="F51" s="1625"/>
      <c r="G51" s="1625"/>
      <c r="H51" s="1625"/>
      <c r="I51" s="1625"/>
      <c r="J51" s="1727"/>
      <c r="K51" s="3036"/>
      <c r="L51" s="3036"/>
      <c r="M51" s="1631"/>
      <c r="N51" s="1631"/>
      <c r="O51" s="1631"/>
      <c r="P51" s="1631"/>
      <c r="Q51" s="1631"/>
      <c r="R51" s="1631"/>
      <c r="S51" s="3021"/>
      <c r="T51" s="3021"/>
      <c r="U51" s="3021"/>
    </row>
    <row r="52" spans="1:21">
      <c r="A52" s="1591"/>
      <c r="B52" s="1591"/>
      <c r="C52" s="1625"/>
      <c r="D52" s="1625"/>
      <c r="E52" s="1625"/>
      <c r="F52" s="1625"/>
      <c r="G52" s="1625"/>
      <c r="H52" s="1625"/>
      <c r="I52" s="1625"/>
      <c r="J52" s="1727"/>
      <c r="K52" s="3036"/>
      <c r="L52" s="3036"/>
      <c r="M52" s="1631"/>
      <c r="N52" s="1631"/>
      <c r="O52" s="1631"/>
      <c r="P52" s="1631"/>
      <c r="Q52" s="1631"/>
      <c r="R52" s="1631"/>
      <c r="S52" s="3021"/>
      <c r="T52" s="3021"/>
      <c r="U52" s="3021"/>
    </row>
    <row r="53" spans="1:21">
      <c r="A53" s="1591"/>
      <c r="B53" s="1591"/>
      <c r="C53" s="1625"/>
      <c r="D53" s="1625"/>
      <c r="E53" s="1625"/>
      <c r="F53" s="1625"/>
      <c r="G53" s="1625"/>
      <c r="H53" s="1625"/>
      <c r="I53" s="1625"/>
      <c r="J53" s="1727"/>
      <c r="K53" s="3036"/>
      <c r="L53" s="3036"/>
      <c r="M53" s="1631"/>
      <c r="N53" s="1631"/>
      <c r="O53" s="1631"/>
      <c r="P53" s="1631"/>
      <c r="Q53" s="1631"/>
      <c r="R53" s="1631"/>
      <c r="S53" s="3021"/>
      <c r="T53" s="3021"/>
      <c r="U53" s="3021"/>
    </row>
    <row r="54" spans="1:21">
      <c r="A54" s="1591"/>
      <c r="B54" s="1591"/>
      <c r="C54" s="1591"/>
      <c r="D54" s="1591"/>
      <c r="E54" s="1591"/>
      <c r="F54" s="1625"/>
      <c r="G54" s="1591"/>
      <c r="H54" s="1591"/>
      <c r="I54" s="1591"/>
      <c r="J54" s="1728"/>
      <c r="K54" s="3036"/>
      <c r="L54" s="3036"/>
      <c r="M54" s="3036"/>
      <c r="N54" s="2988"/>
      <c r="O54" s="2988"/>
      <c r="P54" s="2988"/>
      <c r="Q54" s="2988"/>
      <c r="R54" s="2988"/>
      <c r="S54" s="3021"/>
      <c r="T54" s="3021"/>
      <c r="U54" s="3021"/>
    </row>
    <row r="55" spans="1:21">
      <c r="A55" s="1591"/>
      <c r="B55" s="1591"/>
      <c r="C55" s="1591"/>
      <c r="D55" s="1591"/>
      <c r="E55" s="1591"/>
      <c r="F55" s="1625"/>
      <c r="G55" s="1591"/>
      <c r="H55" s="1591"/>
      <c r="I55" s="1591"/>
      <c r="J55" s="1728"/>
      <c r="K55" s="3036"/>
      <c r="L55" s="3036"/>
      <c r="M55" s="3036"/>
      <c r="N55" s="2988"/>
      <c r="O55" s="2988"/>
      <c r="P55" s="2988"/>
      <c r="Q55" s="2988"/>
      <c r="R55" s="2988"/>
      <c r="S55" s="3021"/>
      <c r="T55" s="3021"/>
      <c r="U55" s="3021"/>
    </row>
    <row r="56" spans="1:21">
      <c r="A56" s="1591"/>
      <c r="B56" s="1591"/>
      <c r="C56" s="1591"/>
      <c r="D56" s="1591"/>
      <c r="E56" s="1591"/>
      <c r="F56" s="1625"/>
      <c r="G56" s="1591"/>
      <c r="H56" s="1591"/>
      <c r="I56" s="1591"/>
      <c r="J56" s="1728"/>
      <c r="K56" s="3036"/>
      <c r="L56" s="3036"/>
      <c r="M56" s="3036"/>
      <c r="N56" s="2988"/>
      <c r="O56" s="2988"/>
      <c r="P56" s="2988"/>
      <c r="Q56" s="2988"/>
      <c r="R56" s="2988"/>
      <c r="S56" s="3021"/>
      <c r="T56" s="3021"/>
      <c r="U56" s="3021"/>
    </row>
    <row r="57" spans="1:21">
      <c r="A57" s="1591"/>
      <c r="B57" s="1591"/>
      <c r="C57" s="1591"/>
      <c r="D57" s="1591"/>
      <c r="E57" s="1591"/>
      <c r="F57" s="1625"/>
      <c r="G57" s="1591"/>
      <c r="H57" s="1591"/>
      <c r="I57" s="1591"/>
      <c r="J57" s="1728"/>
      <c r="K57" s="3036"/>
      <c r="L57" s="3036"/>
      <c r="M57" s="3036"/>
      <c r="N57" s="2988"/>
      <c r="O57" s="2988"/>
      <c r="P57" s="2988"/>
      <c r="Q57" s="2988"/>
      <c r="R57" s="2988"/>
      <c r="S57" s="3021"/>
      <c r="T57" s="3021"/>
      <c r="U57" s="3021"/>
    </row>
    <row r="58" spans="1:21">
      <c r="A58" s="1591"/>
      <c r="B58" s="1591"/>
      <c r="C58" s="1591"/>
      <c r="D58" s="1591"/>
      <c r="E58" s="1591"/>
      <c r="F58" s="1625"/>
      <c r="G58" s="1591"/>
      <c r="H58" s="1591"/>
      <c r="I58" s="1591"/>
      <c r="J58" s="1728"/>
      <c r="K58" s="3036"/>
      <c r="L58" s="3036"/>
      <c r="M58" s="3036"/>
      <c r="N58" s="2988"/>
      <c r="O58" s="2988"/>
      <c r="P58" s="2988"/>
      <c r="Q58" s="2988"/>
      <c r="R58" s="2988"/>
      <c r="S58" s="3021"/>
      <c r="T58" s="3021"/>
      <c r="U58" s="302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7" sqref="F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34818</v>
      </c>
      <c r="B3" s="22">
        <f>IF(C3="否",G5-AT5,G5)</f>
        <v>104454</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104454</v>
      </c>
      <c r="H5" s="27">
        <f t="shared" ref="H5:AT5" si="0">SUM(H13:H641)</f>
        <v>103391.18</v>
      </c>
      <c r="I5" s="27">
        <f t="shared" si="0"/>
        <v>98168.48</v>
      </c>
      <c r="J5" s="27">
        <f t="shared" si="0"/>
        <v>0</v>
      </c>
      <c r="K5" s="27">
        <f t="shared" si="0"/>
        <v>5222.7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1062.82</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1062.82</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104454</v>
      </c>
      <c r="BA5" s="29">
        <f t="shared" si="1"/>
        <v>103391.18</v>
      </c>
      <c r="BB5" s="29">
        <f t="shared" si="1"/>
        <v>98168.48</v>
      </c>
      <c r="BC5" s="29">
        <f t="shared" si="1"/>
        <v>5222.7</v>
      </c>
      <c r="BD5" s="29">
        <f t="shared" si="1"/>
        <v>0</v>
      </c>
      <c r="BE5" s="29">
        <f t="shared" si="1"/>
        <v>0</v>
      </c>
      <c r="BF5" s="29">
        <f t="shared" si="1"/>
        <v>0</v>
      </c>
      <c r="BG5" s="29">
        <f t="shared" si="1"/>
        <v>0</v>
      </c>
      <c r="BH5" s="29">
        <f t="shared" si="1"/>
        <v>0</v>
      </c>
      <c r="BI5" s="29">
        <f t="shared" si="1"/>
        <v>0</v>
      </c>
      <c r="BJ5" s="29">
        <f t="shared" si="1"/>
        <v>0</v>
      </c>
      <c r="BK5" s="29">
        <f t="shared" si="1"/>
        <v>0</v>
      </c>
      <c r="BL5" s="29">
        <f t="shared" si="1"/>
        <v>1062.82</v>
      </c>
      <c r="BM5" s="29">
        <f t="shared" si="1"/>
        <v>0</v>
      </c>
      <c r="BN5" s="29">
        <f t="shared" si="1"/>
        <v>0</v>
      </c>
      <c r="BO5" s="29">
        <f t="shared" si="1"/>
        <v>0</v>
      </c>
      <c r="BP5" s="29">
        <f t="shared" si="1"/>
        <v>0</v>
      </c>
      <c r="BQ5" s="29">
        <f t="shared" si="1"/>
        <v>1062.82</v>
      </c>
      <c r="BR5" s="29">
        <f t="shared" si="1"/>
        <v>0</v>
      </c>
      <c r="BS5" s="29">
        <f t="shared" si="1"/>
        <v>0</v>
      </c>
      <c r="BT5" s="30">
        <f t="shared" si="1"/>
        <v>0</v>
      </c>
    </row>
    <row r="6" spans="1:72" s="37" customFormat="1" ht="12.75">
      <c r="A6" s="26" t="s">
        <v>169</v>
      </c>
      <c r="B6" s="31"/>
      <c r="C6" s="31"/>
      <c r="D6" s="32"/>
      <c r="E6" s="27">
        <f>H6+AC6+AT6</f>
        <v>34818</v>
      </c>
      <c r="F6" s="27" t="s">
        <v>1</v>
      </c>
      <c r="G6" s="27" t="s">
        <v>2</v>
      </c>
      <c r="H6" s="33">
        <f>SUMIF(I$12:AB$12,"总值",I6:AB6)</f>
        <v>34463.730000000003</v>
      </c>
      <c r="I6" s="27">
        <f t="shared" ref="I6:AB6" si="2">ROUND($A$3*I5/$B$3,2)</f>
        <v>32722.83</v>
      </c>
      <c r="J6" s="27">
        <f t="shared" si="2"/>
        <v>0</v>
      </c>
      <c r="K6" s="27">
        <f t="shared" si="2"/>
        <v>1740.9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354.27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354.27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34818</v>
      </c>
      <c r="AZ6" s="27" t="s">
        <v>3</v>
      </c>
      <c r="BA6" s="27">
        <f>ROUND($AY$6*BA5/$AZ$5,2)</f>
        <v>34463.730000000003</v>
      </c>
      <c r="BB6" s="27">
        <f>ROUND($AY$6*BB5/$AZ$5,2)</f>
        <v>32722.83</v>
      </c>
      <c r="BC6" s="27">
        <f t="shared" ref="BC6:BH6" si="4">ROUND($AY$6*BC5/$AZ$5,2)</f>
        <v>1740.9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354.27</v>
      </c>
      <c r="BM6" s="27">
        <f t="shared" si="5"/>
        <v>0</v>
      </c>
      <c r="BN6" s="27">
        <f t="shared" si="5"/>
        <v>0</v>
      </c>
      <c r="BO6" s="27">
        <f t="shared" si="5"/>
        <v>0</v>
      </c>
      <c r="BP6" s="27">
        <f t="shared" si="5"/>
        <v>0</v>
      </c>
      <c r="BQ6" s="27">
        <f t="shared" si="5"/>
        <v>354.27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701" t="s">
        <v>2989</v>
      </c>
      <c r="J9" s="51"/>
      <c r="K9" s="2701" t="s">
        <v>2989</v>
      </c>
      <c r="L9" s="51"/>
      <c r="M9" s="270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701" t="s">
        <v>903</v>
      </c>
      <c r="J10" s="51"/>
      <c r="K10" s="2703" t="s">
        <v>2987</v>
      </c>
      <c r="L10" s="51"/>
      <c r="M10" s="270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702"/>
      <c r="J11" s="71"/>
      <c r="K11" s="2702"/>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96">
        <f>A3*3</f>
        <v>104454</v>
      </c>
      <c r="B13" s="2696"/>
      <c r="C13" s="2696"/>
      <c r="D13" s="2697" t="s">
        <v>1658</v>
      </c>
      <c r="E13" s="27">
        <f t="shared" ref="E13:E20" si="6">IF($C$3="是",ROUND($A$3*G13/$B$3,2),ROUND($A$3*(G13-AT13)/$B$3,2))</f>
        <v>34818</v>
      </c>
      <c r="F13" s="81"/>
      <c r="G13" s="82">
        <f t="shared" ref="G13:G20" si="7">H13+AC13+AT13</f>
        <v>104454</v>
      </c>
      <c r="H13" s="33">
        <f t="shared" ref="H13:H20" si="8">SUMIF(I$12:AB$12,"总值",I13:AB13)</f>
        <v>103391.18</v>
      </c>
      <c r="I13" s="2700">
        <f>ROUND(A13-K13-AD13-AH13-AL13,2)</f>
        <v>98168.48</v>
      </c>
      <c r="J13" s="2700"/>
      <c r="K13" s="2700">
        <f>ROUND(A13*0.05,2)</f>
        <v>5222.7</v>
      </c>
      <c r="L13" s="2700"/>
      <c r="M13" s="2700"/>
      <c r="N13" s="83"/>
      <c r="O13" s="83"/>
      <c r="P13" s="83"/>
      <c r="Q13" s="83"/>
      <c r="R13" s="83"/>
      <c r="S13" s="83"/>
      <c r="T13" s="83"/>
      <c r="U13" s="83"/>
      <c r="V13" s="83"/>
      <c r="W13" s="83"/>
      <c r="X13" s="83"/>
      <c r="Y13" s="83"/>
      <c r="Z13" s="83"/>
      <c r="AA13" s="83"/>
      <c r="AB13" s="83"/>
      <c r="AC13" s="27">
        <f t="shared" ref="AC13:AC20" si="9">SUMIF(AD$12:AS$12,"总值",AD13:AS13)</f>
        <v>1062.82</v>
      </c>
      <c r="AD13" s="2704"/>
      <c r="AE13" s="2704"/>
      <c r="AF13" s="2704"/>
      <c r="AG13" s="2704"/>
      <c r="AH13" s="2704"/>
      <c r="AI13" s="2704"/>
      <c r="AJ13" s="2704"/>
      <c r="AK13" s="2704"/>
      <c r="AL13" s="2704">
        <f>ROUND(A13*0.004+450+25+80+60+30,2)</f>
        <v>1062.82</v>
      </c>
      <c r="AM13" s="2704"/>
      <c r="AN13" s="2704"/>
      <c r="AO13" s="2704"/>
      <c r="AP13" s="2704"/>
      <c r="AQ13" s="2704"/>
      <c r="AR13" s="2704"/>
      <c r="AS13" s="2704"/>
      <c r="AT13" s="2705"/>
      <c r="AU13" s="2706"/>
      <c r="AV13" s="17">
        <f t="shared" ref="AV13:AX20" si="10">A13</f>
        <v>104454</v>
      </c>
      <c r="AW13" s="17">
        <f t="shared" si="10"/>
        <v>0</v>
      </c>
      <c r="AX13" s="17">
        <f t="shared" si="10"/>
        <v>0</v>
      </c>
      <c r="AY13" s="967">
        <f t="shared" ref="AY13:AY20" si="11">ROUND($AY$6*AZ13/$AZ$5,2)</f>
        <v>34818</v>
      </c>
      <c r="AZ13" s="27">
        <f t="shared" ref="AZ13:AZ20" si="12">BA13+BL13</f>
        <v>104454</v>
      </c>
      <c r="BA13" s="27">
        <f t="shared" ref="BA13:BA20" si="13">SUM(BB13:BK13)</f>
        <v>103391.18</v>
      </c>
      <c r="BB13" s="27">
        <f t="shared" ref="BB13:BB20" si="14">IF($D13="是",I13-J13,0)</f>
        <v>98168.48</v>
      </c>
      <c r="BC13" s="27">
        <f t="shared" ref="BC13:BC20" si="15">IF($D13="是",K13-L13,0)</f>
        <v>5222.7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1062.82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1062.82</v>
      </c>
      <c r="BR13" s="27">
        <f t="shared" ref="BR13:BR20" si="30">IF($D13="是",AN13-AO13,0)</f>
        <v>0</v>
      </c>
      <c r="BS13" s="27">
        <f t="shared" ref="BS13:BS20" si="31">IF($D13="是",AP13-AQ13,0)</f>
        <v>0</v>
      </c>
      <c r="BT13" s="36">
        <f t="shared" ref="BT13:BT20" si="32">IF($D13="是",AR13-AS13,0)</f>
        <v>0</v>
      </c>
    </row>
    <row r="14" spans="1:72" s="18" customFormat="1" ht="12.75">
      <c r="A14" s="2696"/>
      <c r="B14" s="2696"/>
      <c r="C14" s="2698"/>
      <c r="D14" s="2697"/>
      <c r="E14" s="27">
        <f t="shared" si="6"/>
        <v>0</v>
      </c>
      <c r="F14" s="81"/>
      <c r="G14" s="82">
        <f t="shared" si="7"/>
        <v>0</v>
      </c>
      <c r="H14" s="33">
        <f t="shared" si="8"/>
        <v>0</v>
      </c>
      <c r="I14" s="2700"/>
      <c r="J14" s="2700"/>
      <c r="K14" s="2700"/>
      <c r="L14" s="2700"/>
      <c r="M14" s="2700"/>
      <c r="N14" s="83"/>
      <c r="O14" s="83"/>
      <c r="P14" s="83"/>
      <c r="Q14" s="83"/>
      <c r="R14" s="83"/>
      <c r="S14" s="83"/>
      <c r="T14" s="83"/>
      <c r="U14" s="83"/>
      <c r="V14" s="83"/>
      <c r="W14" s="83"/>
      <c r="X14" s="83"/>
      <c r="Y14" s="83"/>
      <c r="Z14" s="83"/>
      <c r="AA14" s="83"/>
      <c r="AB14" s="83"/>
      <c r="AC14" s="27">
        <f t="shared" si="9"/>
        <v>0</v>
      </c>
      <c r="AD14" s="2704"/>
      <c r="AE14" s="2704"/>
      <c r="AF14" s="2704"/>
      <c r="AG14" s="2704"/>
      <c r="AH14" s="2704"/>
      <c r="AI14" s="2704"/>
      <c r="AJ14" s="2704"/>
      <c r="AK14" s="2704"/>
      <c r="AL14" s="2704"/>
      <c r="AM14" s="2704"/>
      <c r="AN14" s="2704"/>
      <c r="AO14" s="2704"/>
      <c r="AP14" s="2704"/>
      <c r="AQ14" s="2704"/>
      <c r="AR14" s="2704"/>
      <c r="AS14" s="2704"/>
      <c r="AT14" s="2705"/>
      <c r="AU14" s="2706"/>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6"/>
      <c r="B15" s="2696"/>
      <c r="C15" s="2698"/>
      <c r="D15" s="2697"/>
      <c r="E15" s="27">
        <f t="shared" si="6"/>
        <v>0</v>
      </c>
      <c r="F15" s="81"/>
      <c r="G15" s="82">
        <f t="shared" si="7"/>
        <v>0</v>
      </c>
      <c r="H15" s="33">
        <f t="shared" si="8"/>
        <v>0</v>
      </c>
      <c r="I15" s="2700"/>
      <c r="J15" s="2700"/>
      <c r="K15" s="2700"/>
      <c r="L15" s="2700"/>
      <c r="M15" s="2700"/>
      <c r="N15" s="83"/>
      <c r="O15" s="83"/>
      <c r="P15" s="83"/>
      <c r="Q15" s="83"/>
      <c r="R15" s="83"/>
      <c r="S15" s="83"/>
      <c r="T15" s="83"/>
      <c r="U15" s="83"/>
      <c r="V15" s="83"/>
      <c r="W15" s="83"/>
      <c r="X15" s="83"/>
      <c r="Y15" s="83"/>
      <c r="Z15" s="83"/>
      <c r="AA15" s="83"/>
      <c r="AB15" s="83"/>
      <c r="AC15" s="27">
        <f t="shared" si="9"/>
        <v>0</v>
      </c>
      <c r="AD15" s="2704"/>
      <c r="AE15" s="2704"/>
      <c r="AF15" s="2704"/>
      <c r="AG15" s="2704"/>
      <c r="AH15" s="2704"/>
      <c r="AI15" s="2704"/>
      <c r="AJ15" s="2704"/>
      <c r="AK15" s="2704"/>
      <c r="AL15" s="2704"/>
      <c r="AM15" s="2704"/>
      <c r="AN15" s="2704"/>
      <c r="AO15" s="2704"/>
      <c r="AP15" s="2704"/>
      <c r="AQ15" s="2704"/>
      <c r="AR15" s="2704"/>
      <c r="AS15" s="2704"/>
      <c r="AT15" s="2705"/>
      <c r="AU15" s="270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6"/>
      <c r="B16" s="2696"/>
      <c r="C16" s="2698"/>
      <c r="D16" s="2697"/>
      <c r="E16" s="27">
        <f t="shared" si="6"/>
        <v>0</v>
      </c>
      <c r="F16" s="81"/>
      <c r="G16" s="82">
        <f t="shared" si="7"/>
        <v>0</v>
      </c>
      <c r="H16" s="33">
        <f t="shared" si="8"/>
        <v>0</v>
      </c>
      <c r="I16" s="2700"/>
      <c r="J16" s="2700"/>
      <c r="K16" s="2700"/>
      <c r="L16" s="2700"/>
      <c r="M16" s="2700"/>
      <c r="N16" s="83"/>
      <c r="O16" s="83"/>
      <c r="P16" s="83"/>
      <c r="Q16" s="83"/>
      <c r="R16" s="83"/>
      <c r="S16" s="83"/>
      <c r="T16" s="83"/>
      <c r="U16" s="83"/>
      <c r="V16" s="83"/>
      <c r="W16" s="83"/>
      <c r="X16" s="83"/>
      <c r="Y16" s="83"/>
      <c r="Z16" s="83"/>
      <c r="AA16" s="83"/>
      <c r="AB16" s="83"/>
      <c r="AC16" s="27">
        <f t="shared" si="9"/>
        <v>0</v>
      </c>
      <c r="AD16" s="2704"/>
      <c r="AE16" s="2704"/>
      <c r="AF16" s="2704"/>
      <c r="AG16" s="2704"/>
      <c r="AH16" s="2704"/>
      <c r="AI16" s="2704"/>
      <c r="AJ16" s="2704"/>
      <c r="AK16" s="2704"/>
      <c r="AL16" s="2704"/>
      <c r="AM16" s="2704"/>
      <c r="AN16" s="2704"/>
      <c r="AO16" s="2704"/>
      <c r="AP16" s="2704"/>
      <c r="AQ16" s="2704"/>
      <c r="AR16" s="2704"/>
      <c r="AS16" s="2704"/>
      <c r="AT16" s="2705"/>
      <c r="AU16" s="270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6"/>
      <c r="B17" s="2696"/>
      <c r="C17" s="2698"/>
      <c r="D17" s="2697"/>
      <c r="E17" s="27">
        <f t="shared" si="6"/>
        <v>0</v>
      </c>
      <c r="F17" s="81"/>
      <c r="G17" s="82">
        <f t="shared" si="7"/>
        <v>0</v>
      </c>
      <c r="H17" s="33">
        <f t="shared" si="8"/>
        <v>0</v>
      </c>
      <c r="I17" s="2700"/>
      <c r="J17" s="2700"/>
      <c r="K17" s="2700"/>
      <c r="L17" s="2700"/>
      <c r="M17" s="2700"/>
      <c r="N17" s="83"/>
      <c r="O17" s="83"/>
      <c r="P17" s="83"/>
      <c r="Q17" s="83"/>
      <c r="R17" s="83"/>
      <c r="S17" s="83"/>
      <c r="T17" s="83"/>
      <c r="U17" s="83"/>
      <c r="V17" s="83"/>
      <c r="W17" s="83"/>
      <c r="X17" s="83"/>
      <c r="Y17" s="83"/>
      <c r="Z17" s="83"/>
      <c r="AA17" s="83"/>
      <c r="AB17" s="83"/>
      <c r="AC17" s="27">
        <f t="shared" si="9"/>
        <v>0</v>
      </c>
      <c r="AD17" s="2704"/>
      <c r="AE17" s="2704"/>
      <c r="AF17" s="2704"/>
      <c r="AG17" s="2704"/>
      <c r="AH17" s="2704"/>
      <c r="AI17" s="2704"/>
      <c r="AJ17" s="2704"/>
      <c r="AK17" s="2704"/>
      <c r="AL17" s="2704"/>
      <c r="AM17" s="2704"/>
      <c r="AN17" s="2704"/>
      <c r="AO17" s="2704"/>
      <c r="AP17" s="2704"/>
      <c r="AQ17" s="2704"/>
      <c r="AR17" s="2704"/>
      <c r="AS17" s="2704"/>
      <c r="AT17" s="2705"/>
      <c r="AU17" s="270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9"/>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Normal="70" zoomScaleSheetLayoutView="100" workbookViewId="0">
      <selection activeCell="E3" sqref="E3"/>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387" t="s">
        <v>203</v>
      </c>
      <c r="B2" s="3387"/>
      <c r="C2" s="3387"/>
      <c r="D2" s="1862" t="s">
        <v>204</v>
      </c>
      <c r="E2" s="106" t="s">
        <v>205</v>
      </c>
      <c r="F2" s="3050"/>
      <c r="G2" s="1164"/>
      <c r="H2" s="1165"/>
      <c r="I2" s="1166" t="s">
        <v>838</v>
      </c>
      <c r="J2" s="3050"/>
      <c r="K2" s="3050"/>
      <c r="L2" s="3050"/>
      <c r="M2" s="3050"/>
      <c r="N2" s="3050"/>
      <c r="O2" s="3050"/>
      <c r="P2" s="3050"/>
    </row>
    <row r="3" spans="1:16" ht="15.75" thickBot="1">
      <c r="A3" s="3388" t="s">
        <v>206</v>
      </c>
      <c r="B3" s="3388"/>
      <c r="C3" s="3388"/>
      <c r="D3" s="107">
        <f>'数据-基础表'!AY6</f>
        <v>34818</v>
      </c>
      <c r="E3" s="107">
        <f>'数据-基础表'!AZ5</f>
        <v>104454</v>
      </c>
      <c r="F3" s="3050"/>
      <c r="G3" s="278" t="s">
        <v>839</v>
      </c>
      <c r="H3" s="273" t="s">
        <v>840</v>
      </c>
      <c r="I3" s="1863">
        <f>ROUND('数据-基础表'!B3/'数据-基础表'!A3,2)</f>
        <v>3</v>
      </c>
      <c r="J3" s="3050"/>
      <c r="K3" s="3050"/>
      <c r="L3" s="3050"/>
      <c r="M3" s="3050"/>
      <c r="N3" s="3050"/>
      <c r="O3" s="3050"/>
      <c r="P3" s="3050"/>
    </row>
    <row r="4" spans="1:16" ht="15">
      <c r="A4" s="3389"/>
      <c r="B4" s="3390"/>
      <c r="C4" s="3391"/>
      <c r="D4" s="108" t="s">
        <v>204</v>
      </c>
      <c r="E4" s="109" t="s">
        <v>205</v>
      </c>
      <c r="F4" s="3050"/>
      <c r="G4" s="1167"/>
      <c r="H4" s="273" t="s">
        <v>841</v>
      </c>
      <c r="I4" s="1863">
        <f>ROUND(SUMIF('数据-基础表'!I9:AS9,"地上",'数据-基础表'!I5:AS5)/'数据-基础表'!A3,2)</f>
        <v>3</v>
      </c>
      <c r="J4" s="3050"/>
      <c r="K4" s="3050"/>
      <c r="L4" s="3050"/>
      <c r="M4" s="3050"/>
      <c r="N4" s="3050"/>
      <c r="O4" s="3050"/>
      <c r="P4" s="3050"/>
    </row>
    <row r="5" spans="1:16">
      <c r="A5" s="110" t="s">
        <v>207</v>
      </c>
      <c r="B5" s="3392" t="s">
        <v>230</v>
      </c>
      <c r="C5" s="3392"/>
      <c r="D5" s="111">
        <f>ROUND($D$3*E5/$E$3,2)</f>
        <v>32722.83</v>
      </c>
      <c r="E5" s="112">
        <f>SUMIF('数据-基础表'!$11:$11,"住宅",'数据-基础表'!$5:$5)</f>
        <v>98168.48</v>
      </c>
      <c r="F5" s="3050"/>
      <c r="G5" s="278" t="s">
        <v>842</v>
      </c>
      <c r="H5" s="273" t="s">
        <v>840</v>
      </c>
      <c r="I5" s="1863">
        <f>ROUND(E31/D31,2)</f>
        <v>3</v>
      </c>
      <c r="J5" s="3050"/>
      <c r="K5" s="3050"/>
      <c r="L5" s="3050"/>
      <c r="M5" s="3050"/>
      <c r="N5" s="3050"/>
      <c r="O5" s="3050"/>
      <c r="P5" s="3050"/>
    </row>
    <row r="6" spans="1:16" ht="15" thickBot="1">
      <c r="A6" s="113"/>
      <c r="B6" s="3392" t="s">
        <v>208</v>
      </c>
      <c r="C6" s="3392"/>
      <c r="D6" s="111">
        <f>ROUND($D$3*E6/$E$3,2)</f>
        <v>2095.17</v>
      </c>
      <c r="E6" s="112">
        <f>E3-E5</f>
        <v>6285.5200000000041</v>
      </c>
      <c r="F6" s="3050"/>
      <c r="G6" s="1167"/>
      <c r="H6" s="273" t="s">
        <v>841</v>
      </c>
      <c r="I6" s="1863">
        <f>ROUND(F31/D31,2)</f>
        <v>3</v>
      </c>
      <c r="J6" s="3050"/>
      <c r="K6" s="3050"/>
      <c r="L6" s="3050"/>
      <c r="M6" s="3050"/>
      <c r="N6" s="3050"/>
      <c r="O6" s="3050"/>
      <c r="P6" s="3050"/>
    </row>
    <row r="7" spans="1:16" ht="15">
      <c r="A7" s="3384"/>
      <c r="B7" s="3385"/>
      <c r="C7" s="3386"/>
      <c r="D7" s="108" t="s">
        <v>204</v>
      </c>
      <c r="E7" s="114" t="s">
        <v>231</v>
      </c>
      <c r="F7" s="3050"/>
      <c r="G7" s="1122" t="s">
        <v>1625</v>
      </c>
      <c r="H7" s="1123"/>
      <c r="I7" s="1734"/>
      <c r="J7" s="3050"/>
      <c r="K7" s="3050"/>
      <c r="L7" s="3050"/>
      <c r="M7" s="3050"/>
      <c r="N7" s="3050"/>
      <c r="O7" s="3050"/>
      <c r="P7" s="3050"/>
    </row>
    <row r="8" spans="1:16">
      <c r="A8" s="110" t="s">
        <v>209</v>
      </c>
      <c r="B8" s="115" t="s">
        <v>210</v>
      </c>
      <c r="C8" s="111" t="s">
        <v>211</v>
      </c>
      <c r="D8" s="111">
        <f t="shared" ref="D8:D15" si="0">ROUND($D$3*E8/$E$3,2)</f>
        <v>34463.730000000003</v>
      </c>
      <c r="E8" s="116">
        <f>SUMIF('数据-基础表'!BB10:BK10,"地上",'数据-基础表'!BB5:BK5)</f>
        <v>103391.18</v>
      </c>
      <c r="F8" s="3050"/>
      <c r="G8" s="3051"/>
      <c r="H8" s="3051"/>
      <c r="I8" s="3050"/>
      <c r="J8" s="3050"/>
      <c r="K8" s="3050"/>
      <c r="L8" s="3050"/>
      <c r="M8" s="3050"/>
      <c r="N8" s="3050"/>
      <c r="O8" s="3050"/>
      <c r="P8" s="3050"/>
    </row>
    <row r="9" spans="1:16">
      <c r="A9" s="117"/>
      <c r="B9" s="118"/>
      <c r="C9" s="111" t="s">
        <v>212</v>
      </c>
      <c r="D9" s="111">
        <f t="shared" si="0"/>
        <v>0</v>
      </c>
      <c r="E9" s="119">
        <v>0</v>
      </c>
      <c r="F9" s="3050"/>
      <c r="G9" s="3051"/>
      <c r="H9" s="3051"/>
      <c r="I9" s="3050"/>
      <c r="J9" s="3050"/>
      <c r="K9" s="3050"/>
      <c r="L9" s="3050"/>
      <c r="M9" s="3050"/>
      <c r="N9" s="3050"/>
      <c r="O9" s="3050"/>
      <c r="P9" s="3050"/>
    </row>
    <row r="10" spans="1:16">
      <c r="A10" s="117"/>
      <c r="B10" s="118"/>
      <c r="C10" s="111" t="s">
        <v>213</v>
      </c>
      <c r="D10" s="111">
        <f t="shared" si="0"/>
        <v>0</v>
      </c>
      <c r="E10" s="116">
        <f>SUMPRODUCT(('数据-基础表'!BB10:BK10="地下")*('数据-基础表'!BB11:BK11="商业")*('数据-基础表'!BB5:BK5))</f>
        <v>0</v>
      </c>
      <c r="F10" s="3050"/>
      <c r="G10" s="3051"/>
      <c r="H10" s="3051"/>
      <c r="I10" s="3050"/>
      <c r="J10" s="3050"/>
      <c r="K10" s="3050"/>
      <c r="L10" s="3050"/>
      <c r="M10" s="3050"/>
      <c r="N10" s="3050"/>
      <c r="O10" s="3050"/>
      <c r="P10" s="3050"/>
    </row>
    <row r="11" spans="1:16">
      <c r="A11" s="117"/>
      <c r="B11" s="118"/>
      <c r="C11" s="2184" t="s">
        <v>2299</v>
      </c>
      <c r="D11" s="111">
        <f t="shared" si="0"/>
        <v>0</v>
      </c>
      <c r="E11" s="116">
        <f>SUMPRODUCT(('数据-基础表'!BB10:BK10="地下")*('数据-基础表'!BB11:BK11="办公")*('数据-基础表'!BB5:BK5))+'数据-基础表'!AJ5</f>
        <v>0</v>
      </c>
      <c r="F11" s="3050"/>
      <c r="G11" s="3051"/>
      <c r="H11" s="3051"/>
      <c r="I11" s="3050"/>
      <c r="J11" s="3050"/>
      <c r="K11" s="3050"/>
      <c r="L11" s="3050"/>
      <c r="M11" s="3050"/>
      <c r="N11" s="3050"/>
      <c r="O11" s="3050"/>
      <c r="P11" s="3050"/>
    </row>
    <row r="12" spans="1:16">
      <c r="A12" s="117"/>
      <c r="B12" s="118"/>
      <c r="C12" s="111" t="s">
        <v>214</v>
      </c>
      <c r="D12" s="111">
        <f t="shared" si="0"/>
        <v>0</v>
      </c>
      <c r="E12" s="116">
        <f>SUMPRODUCT(('数据-基础表'!BB10:BK10="地下")*('数据-基础表'!BB11:BK11="仓储")*('数据-基础表'!BB5:BK5))</f>
        <v>0</v>
      </c>
      <c r="F12" s="3050"/>
      <c r="G12" s="3051"/>
      <c r="H12" s="3051"/>
      <c r="I12" s="3050"/>
      <c r="J12" s="3050"/>
      <c r="K12" s="3050"/>
      <c r="L12" s="3050"/>
      <c r="M12" s="3050"/>
      <c r="N12" s="3050"/>
      <c r="O12" s="3050"/>
      <c r="P12" s="3050"/>
    </row>
    <row r="13" spans="1:16">
      <c r="A13" s="117"/>
      <c r="B13" s="118"/>
      <c r="C13" s="2184" t="s">
        <v>2306</v>
      </c>
      <c r="D13" s="111">
        <f t="shared" si="0"/>
        <v>0</v>
      </c>
      <c r="E13" s="116">
        <f>SUMPRODUCT(('数据-基础表'!BB10:BK10="地下")*('数据-基础表'!BB11:BK11="车库")*('数据-基础表'!BB5:BK5))</f>
        <v>0</v>
      </c>
      <c r="F13" s="3050"/>
      <c r="G13" s="3051"/>
      <c r="H13" s="3051"/>
      <c r="I13" s="3050"/>
      <c r="J13" s="3050"/>
      <c r="K13" s="3050"/>
      <c r="L13" s="3050"/>
      <c r="M13" s="3050"/>
      <c r="N13" s="3050"/>
      <c r="O13" s="3050"/>
      <c r="P13" s="3050"/>
    </row>
    <row r="14" spans="1:16">
      <c r="A14" s="117"/>
      <c r="B14" s="118"/>
      <c r="C14" s="111" t="s">
        <v>232</v>
      </c>
      <c r="D14" s="111">
        <f t="shared" si="0"/>
        <v>0</v>
      </c>
      <c r="E14" s="116">
        <f>SUMPRODUCT(('数据-基础表'!BB10:BK10="地下")*('数据-基础表'!BB11:BK11="车库—商业")*('数据-基础表'!BB5:BK5))</f>
        <v>0</v>
      </c>
      <c r="F14" s="3050"/>
      <c r="G14" s="3051"/>
      <c r="H14" s="3051"/>
      <c r="I14" s="3050"/>
      <c r="J14" s="3050"/>
      <c r="K14" s="3050"/>
      <c r="L14" s="3050"/>
      <c r="M14" s="3050"/>
      <c r="N14" s="3050"/>
      <c r="O14" s="3050"/>
      <c r="P14" s="3050"/>
    </row>
    <row r="15" spans="1:16" ht="15" thickBot="1">
      <c r="A15" s="117"/>
      <c r="B15" s="118"/>
      <c r="C15" s="111" t="s">
        <v>233</v>
      </c>
      <c r="D15" s="111">
        <f t="shared" si="0"/>
        <v>0</v>
      </c>
      <c r="E15" s="116">
        <f>SUMPRODUCT(('数据-基础表'!BB10:BK10="地下")*('数据-基础表'!BB11:BK11="车库—办公")*('数据-基础表'!BB5:BK5))</f>
        <v>0</v>
      </c>
      <c r="F15" s="3050"/>
      <c r="G15" s="3051"/>
      <c r="H15" s="3051"/>
      <c r="I15" s="3050"/>
      <c r="J15" s="3050"/>
      <c r="K15" s="3050"/>
      <c r="L15" s="3050"/>
      <c r="M15" s="3050"/>
      <c r="N15" s="3050"/>
      <c r="O15" s="3050"/>
      <c r="P15" s="3050"/>
    </row>
    <row r="16" spans="1:16" ht="15.75" thickBot="1">
      <c r="A16" s="113"/>
      <c r="B16" s="118"/>
      <c r="C16" s="115" t="s">
        <v>215</v>
      </c>
      <c r="D16" s="115">
        <f>SUM(D8:D15)</f>
        <v>34463.730000000003</v>
      </c>
      <c r="E16" s="120">
        <f>SUM(E8:E15)</f>
        <v>103391.18</v>
      </c>
      <c r="F16" s="3050"/>
      <c r="G16" s="3051"/>
      <c r="H16" s="939" t="s">
        <v>219</v>
      </c>
      <c r="I16" s="940"/>
      <c r="J16" s="1871"/>
      <c r="K16" s="3378" t="s">
        <v>2527</v>
      </c>
      <c r="L16" s="3379"/>
      <c r="M16" s="3379"/>
      <c r="N16" s="3379"/>
      <c r="O16" s="3379"/>
      <c r="P16" s="3380"/>
    </row>
    <row r="17" spans="1:19" ht="15">
      <c r="A17" s="121" t="s">
        <v>216</v>
      </c>
      <c r="B17" s="122" t="s">
        <v>217</v>
      </c>
      <c r="C17" s="2151" t="s">
        <v>2285</v>
      </c>
      <c r="D17" s="108" t="s">
        <v>204</v>
      </c>
      <c r="E17" s="124" t="s">
        <v>205</v>
      </c>
      <c r="F17" s="125"/>
      <c r="G17" s="1294"/>
      <c r="H17" s="941" t="s">
        <v>218</v>
      </c>
      <c r="I17" s="942" t="s">
        <v>2284</v>
      </c>
      <c r="J17" s="1871"/>
      <c r="K17" s="3381" t="s">
        <v>2528</v>
      </c>
      <c r="L17" s="3382"/>
      <c r="M17" s="3383"/>
      <c r="N17" s="3381" t="s">
        <v>2529</v>
      </c>
      <c r="O17" s="3382"/>
      <c r="P17" s="3383"/>
      <c r="R17" s="2152" t="s">
        <v>2283</v>
      </c>
      <c r="S17" s="142"/>
    </row>
    <row r="18" spans="1:19" ht="15">
      <c r="A18" s="117"/>
      <c r="B18" s="128"/>
      <c r="C18" s="129"/>
      <c r="D18" s="2454"/>
      <c r="E18" s="130" t="s">
        <v>220</v>
      </c>
      <c r="F18" s="131" t="s">
        <v>221</v>
      </c>
      <c r="G18" s="1295" t="s">
        <v>222</v>
      </c>
      <c r="H18" s="943" t="s">
        <v>223</v>
      </c>
      <c r="I18" s="944" t="s">
        <v>224</v>
      </c>
      <c r="J18" s="1871"/>
      <c r="K18" s="2419" t="s">
        <v>2530</v>
      </c>
      <c r="L18" s="2420" t="s">
        <v>2531</v>
      </c>
      <c r="M18" s="2421" t="s">
        <v>2532</v>
      </c>
      <c r="N18" s="2419" t="s">
        <v>2530</v>
      </c>
      <c r="O18" s="2420" t="s">
        <v>2531</v>
      </c>
      <c r="P18" s="2421" t="s">
        <v>2532</v>
      </c>
      <c r="R18" s="2153" t="s">
        <v>2281</v>
      </c>
      <c r="S18" s="2153" t="s">
        <v>2282</v>
      </c>
    </row>
    <row r="19" spans="1:19">
      <c r="A19" s="133"/>
      <c r="B19" s="115" t="s">
        <v>225</v>
      </c>
      <c r="C19" s="2707" t="s">
        <v>2990</v>
      </c>
      <c r="D19" s="111">
        <f t="shared" ref="D19:D26" si="1">ROUND($D$3*E19/$E$3,2)</f>
        <v>32722.83</v>
      </c>
      <c r="E19" s="134">
        <f t="shared" ref="E19:E26" si="2">SUM(F19:G19)</f>
        <v>98168.48</v>
      </c>
      <c r="F19" s="3052">
        <f>'数据-基础表'!I13</f>
        <v>98168.48</v>
      </c>
      <c r="G19" s="3053"/>
      <c r="H19" s="945">
        <f>ROUND($D$3*I19/$E$3,2)</f>
        <v>336.38</v>
      </c>
      <c r="I19" s="116">
        <f>IF($I$17="自定义",P19,M19)</f>
        <v>1009.13</v>
      </c>
      <c r="J19" s="1871"/>
      <c r="K19" s="2422">
        <f t="shared" ref="K19:K26" si="3">ROUND(E$28*E19/E$27,2)</f>
        <v>1009.13</v>
      </c>
      <c r="L19" s="273">
        <f t="shared" ref="L19:L26" si="4">ROUND(IF(COUNTIF(C19,"*住宅*")&gt;0,E$29*E19/E$32,0),2)</f>
        <v>0</v>
      </c>
      <c r="M19" s="2423">
        <f>K19+L19</f>
        <v>1009.13</v>
      </c>
      <c r="N19" s="2424"/>
      <c r="O19" s="2425"/>
      <c r="P19" s="2426">
        <f>N19+O19</f>
        <v>0</v>
      </c>
      <c r="R19" s="273">
        <f t="shared" ref="R19:S26" si="5">D19+H19</f>
        <v>33059.21</v>
      </c>
      <c r="S19" s="2154">
        <f t="shared" si="5"/>
        <v>99177.61</v>
      </c>
    </row>
    <row r="20" spans="1:19">
      <c r="A20" s="137"/>
      <c r="B20" s="115" t="s">
        <v>226</v>
      </c>
      <c r="C20" s="2707" t="s">
        <v>2991</v>
      </c>
      <c r="D20" s="111">
        <f t="shared" si="1"/>
        <v>1740.9</v>
      </c>
      <c r="E20" s="134">
        <f t="shared" si="2"/>
        <v>5222.7</v>
      </c>
      <c r="F20" s="3052">
        <f>'数据-基础表'!K13</f>
        <v>5222.7</v>
      </c>
      <c r="G20" s="3053"/>
      <c r="H20" s="945">
        <f t="shared" ref="H20:H26" si="6">ROUND($D$3*I20/$E$3,2)</f>
        <v>17.899999999999999</v>
      </c>
      <c r="I20" s="116">
        <f t="shared" ref="I20:I26" si="7">IF($I$17="自定义",P20,M20)</f>
        <v>53.69</v>
      </c>
      <c r="J20" s="1871"/>
      <c r="K20" s="2422">
        <f t="shared" si="3"/>
        <v>53.69</v>
      </c>
      <c r="L20" s="273">
        <f t="shared" si="4"/>
        <v>0</v>
      </c>
      <c r="M20" s="2423">
        <f t="shared" ref="M20:M26" si="8">K20+L20</f>
        <v>53.69</v>
      </c>
      <c r="N20" s="2424"/>
      <c r="O20" s="2425"/>
      <c r="P20" s="2426">
        <f t="shared" ref="P20:P26" si="9">N20+O20</f>
        <v>0</v>
      </c>
      <c r="R20" s="273">
        <f t="shared" si="5"/>
        <v>1758.8000000000002</v>
      </c>
      <c r="S20" s="2154">
        <f t="shared" si="5"/>
        <v>5276.3899999999994</v>
      </c>
    </row>
    <row r="21" spans="1:19">
      <c r="A21" s="137"/>
      <c r="B21" s="115" t="s">
        <v>226</v>
      </c>
      <c r="C21" s="2707"/>
      <c r="D21" s="111">
        <f t="shared" si="1"/>
        <v>0</v>
      </c>
      <c r="E21" s="134">
        <f t="shared" si="2"/>
        <v>0</v>
      </c>
      <c r="F21" s="3052"/>
      <c r="G21" s="3053"/>
      <c r="H21" s="945">
        <f t="shared" si="6"/>
        <v>0</v>
      </c>
      <c r="I21" s="116">
        <f t="shared" si="7"/>
        <v>0</v>
      </c>
      <c r="J21" s="1871"/>
      <c r="K21" s="2422">
        <f t="shared" si="3"/>
        <v>0</v>
      </c>
      <c r="L21" s="273">
        <f t="shared" si="4"/>
        <v>0</v>
      </c>
      <c r="M21" s="2423">
        <f t="shared" si="8"/>
        <v>0</v>
      </c>
      <c r="N21" s="2424"/>
      <c r="O21" s="2425"/>
      <c r="P21" s="2426">
        <f t="shared" si="9"/>
        <v>0</v>
      </c>
      <c r="R21" s="273">
        <f t="shared" si="5"/>
        <v>0</v>
      </c>
      <c r="S21" s="2154">
        <f t="shared" si="5"/>
        <v>0</v>
      </c>
    </row>
    <row r="22" spans="1:19">
      <c r="A22" s="137"/>
      <c r="B22" s="115" t="s">
        <v>226</v>
      </c>
      <c r="C22" s="1293"/>
      <c r="D22" s="111">
        <f t="shared" si="1"/>
        <v>0</v>
      </c>
      <c r="E22" s="134">
        <f t="shared" si="2"/>
        <v>0</v>
      </c>
      <c r="F22" s="3054"/>
      <c r="G22" s="3055"/>
      <c r="H22" s="945">
        <f t="shared" si="6"/>
        <v>0</v>
      </c>
      <c r="I22" s="116">
        <f t="shared" si="7"/>
        <v>0</v>
      </c>
      <c r="J22" s="1871"/>
      <c r="K22" s="2422">
        <f t="shared" si="3"/>
        <v>0</v>
      </c>
      <c r="L22" s="273">
        <f t="shared" si="4"/>
        <v>0</v>
      </c>
      <c r="M22" s="2423">
        <f t="shared" si="8"/>
        <v>0</v>
      </c>
      <c r="N22" s="2424"/>
      <c r="O22" s="2425"/>
      <c r="P22" s="2426">
        <f t="shared" si="9"/>
        <v>0</v>
      </c>
      <c r="R22" s="273">
        <f t="shared" si="5"/>
        <v>0</v>
      </c>
      <c r="S22" s="2154">
        <f t="shared" si="5"/>
        <v>0</v>
      </c>
    </row>
    <row r="23" spans="1:19">
      <c r="A23" s="137"/>
      <c r="B23" s="115" t="s">
        <v>226</v>
      </c>
      <c r="C23" s="138"/>
      <c r="D23" s="111">
        <f>ROUND($D$3*E23/$E$3,2)</f>
        <v>0</v>
      </c>
      <c r="E23" s="134">
        <f>SUM(F23:G23)</f>
        <v>0</v>
      </c>
      <c r="F23" s="3054"/>
      <c r="G23" s="3055"/>
      <c r="H23" s="945">
        <f>ROUND($D$3*I23/$E$3,2)</f>
        <v>0</v>
      </c>
      <c r="I23" s="116">
        <f t="shared" si="7"/>
        <v>0</v>
      </c>
      <c r="J23" s="1871"/>
      <c r="K23" s="2422">
        <f t="shared" si="3"/>
        <v>0</v>
      </c>
      <c r="L23" s="273">
        <f t="shared" si="4"/>
        <v>0</v>
      </c>
      <c r="M23" s="2423">
        <f t="shared" si="8"/>
        <v>0</v>
      </c>
      <c r="N23" s="2424"/>
      <c r="O23" s="2425"/>
      <c r="P23" s="2426">
        <f t="shared" si="9"/>
        <v>0</v>
      </c>
      <c r="R23" s="273">
        <f t="shared" si="5"/>
        <v>0</v>
      </c>
      <c r="S23" s="2154">
        <f t="shared" si="5"/>
        <v>0</v>
      </c>
    </row>
    <row r="24" spans="1:19">
      <c r="A24" s="137"/>
      <c r="B24" s="115" t="s">
        <v>226</v>
      </c>
      <c r="C24" s="138"/>
      <c r="D24" s="111">
        <f>ROUND($D$3*E24/$E$3,2)</f>
        <v>0</v>
      </c>
      <c r="E24" s="134">
        <f>SUM(F24:G24)</f>
        <v>0</v>
      </c>
      <c r="F24" s="3054"/>
      <c r="G24" s="3055"/>
      <c r="H24" s="945">
        <f>ROUND($D$3*I24/$E$3,2)</f>
        <v>0</v>
      </c>
      <c r="I24" s="116">
        <f t="shared" si="7"/>
        <v>0</v>
      </c>
      <c r="J24" s="1871"/>
      <c r="K24" s="2422">
        <f t="shared" si="3"/>
        <v>0</v>
      </c>
      <c r="L24" s="273">
        <f t="shared" si="4"/>
        <v>0</v>
      </c>
      <c r="M24" s="2423">
        <f t="shared" si="8"/>
        <v>0</v>
      </c>
      <c r="N24" s="2424"/>
      <c r="O24" s="2425"/>
      <c r="P24" s="2426">
        <f t="shared" si="9"/>
        <v>0</v>
      </c>
      <c r="R24" s="273">
        <f t="shared" si="5"/>
        <v>0</v>
      </c>
      <c r="S24" s="2154">
        <f t="shared" si="5"/>
        <v>0</v>
      </c>
    </row>
    <row r="25" spans="1:19">
      <c r="A25" s="137"/>
      <c r="B25" s="115" t="s">
        <v>226</v>
      </c>
      <c r="C25" s="138"/>
      <c r="D25" s="111">
        <f t="shared" si="1"/>
        <v>0</v>
      </c>
      <c r="E25" s="134">
        <f t="shared" si="2"/>
        <v>0</v>
      </c>
      <c r="F25" s="3054"/>
      <c r="G25" s="3055"/>
      <c r="H25" s="110">
        <f t="shared" si="6"/>
        <v>0</v>
      </c>
      <c r="I25" s="116">
        <f t="shared" si="7"/>
        <v>0</v>
      </c>
      <c r="J25" s="1871"/>
      <c r="K25" s="2422">
        <f t="shared" si="3"/>
        <v>0</v>
      </c>
      <c r="L25" s="273">
        <f t="shared" si="4"/>
        <v>0</v>
      </c>
      <c r="M25" s="2423">
        <f t="shared" si="8"/>
        <v>0</v>
      </c>
      <c r="N25" s="2424"/>
      <c r="O25" s="2425"/>
      <c r="P25" s="2426">
        <f t="shared" si="9"/>
        <v>0</v>
      </c>
      <c r="R25" s="273">
        <f t="shared" si="5"/>
        <v>0</v>
      </c>
      <c r="S25" s="2154">
        <f t="shared" si="5"/>
        <v>0</v>
      </c>
    </row>
    <row r="26" spans="1:19">
      <c r="A26" s="137"/>
      <c r="B26" s="115" t="s">
        <v>226</v>
      </c>
      <c r="C26" s="140"/>
      <c r="D26" s="111">
        <f t="shared" si="1"/>
        <v>0</v>
      </c>
      <c r="E26" s="134">
        <f t="shared" si="2"/>
        <v>0</v>
      </c>
      <c r="F26" s="3054"/>
      <c r="G26" s="3055"/>
      <c r="H26" s="110">
        <f t="shared" si="6"/>
        <v>0</v>
      </c>
      <c r="I26" s="116">
        <f t="shared" si="7"/>
        <v>0</v>
      </c>
      <c r="J26" s="1871"/>
      <c r="K26" s="2427">
        <f t="shared" si="3"/>
        <v>0</v>
      </c>
      <c r="L26" s="278">
        <f t="shared" si="4"/>
        <v>0</v>
      </c>
      <c r="M26" s="144">
        <f t="shared" si="8"/>
        <v>0</v>
      </c>
      <c r="N26" s="2428"/>
      <c r="O26" s="2429"/>
      <c r="P26" s="2430">
        <f t="shared" si="9"/>
        <v>0</v>
      </c>
      <c r="R26" s="273">
        <f t="shared" si="5"/>
        <v>0</v>
      </c>
      <c r="S26" s="2154">
        <f t="shared" si="5"/>
        <v>0</v>
      </c>
    </row>
    <row r="27" spans="1:19" ht="15.75" thickBot="1">
      <c r="A27" s="137"/>
      <c r="B27" s="111"/>
      <c r="C27" s="127" t="s">
        <v>215</v>
      </c>
      <c r="D27" s="134">
        <f>SUM(D19:D26)</f>
        <v>34463.730000000003</v>
      </c>
      <c r="E27" s="141">
        <f>IF(SUM(E19:E26)='数据-基础表'!BA5,SUM(E19:E26),IF(F27="地上面积有误","面积有误","地下面积有误"))</f>
        <v>103391.18</v>
      </c>
      <c r="F27" s="134">
        <f>IF(SUM(F19:F26)=E8,SUM(F19:F26),"地上面积有误")</f>
        <v>103391.18</v>
      </c>
      <c r="G27" s="112">
        <f>SUM(G19:G26)</f>
        <v>0</v>
      </c>
      <c r="H27" s="946">
        <f>SUM(H19:H26)</f>
        <v>354.28</v>
      </c>
      <c r="I27" s="947">
        <f>SUM(I19:I26)</f>
        <v>1062.82</v>
      </c>
      <c r="J27" s="1871"/>
      <c r="K27" s="2431">
        <f>SUM(K19:K26)</f>
        <v>1062.82</v>
      </c>
      <c r="L27" s="2432">
        <f>SUM(L19:L26)</f>
        <v>0</v>
      </c>
      <c r="M27" s="2433">
        <f>SUM(M19:M26)</f>
        <v>1062.82</v>
      </c>
      <c r="N27" s="2431">
        <f t="shared" ref="N27:O27" si="10">SUM(N19:N26)</f>
        <v>0</v>
      </c>
      <c r="O27" s="2432">
        <f t="shared" si="10"/>
        <v>0</v>
      </c>
      <c r="P27" s="2434">
        <f>SUM(P19:P26)</f>
        <v>0</v>
      </c>
      <c r="R27" s="2158" t="str">
        <f>IF(SUM(R19:R26)=$D$3,SUM(R19:R26),SUM(R19:R26)&amp;"误差"&amp;ROUND(SUM(R19:R26)-$D$3,2))</f>
        <v>34818.01误差0.01</v>
      </c>
      <c r="S27" s="273">
        <f>IF(SUM(S19:S26)=$E$3,SUM(S19:S26),SUM(S19:S26)&amp;"误差"&amp;ROUND(SUM(S19:S26)-E3,2))</f>
        <v>104454</v>
      </c>
    </row>
    <row r="28" spans="1:19">
      <c r="A28" s="137"/>
      <c r="B28" s="115" t="s">
        <v>227</v>
      </c>
      <c r="C28" s="135" t="s">
        <v>228</v>
      </c>
      <c r="D28" s="111">
        <f>ROUND($D$3*E28/$E$3,2)</f>
        <v>354.27</v>
      </c>
      <c r="E28" s="134">
        <f>SUM(F28:G28)</f>
        <v>1062.82</v>
      </c>
      <c r="F28" s="142">
        <f>'数据-基础表'!BQ5+'数据-基础表'!BS5</f>
        <v>1062.82</v>
      </c>
      <c r="G28" s="143">
        <f>'数据-基础表'!BR5+'数据-基础表'!BT5</f>
        <v>0</v>
      </c>
      <c r="H28" s="3050"/>
      <c r="I28" s="3050"/>
      <c r="J28" s="3050"/>
      <c r="K28" s="3050"/>
      <c r="L28" s="3050"/>
      <c r="M28" s="3050"/>
      <c r="N28" s="3050"/>
      <c r="O28" s="3050"/>
      <c r="P28" s="3050"/>
    </row>
    <row r="29" spans="1:19">
      <c r="A29" s="137"/>
      <c r="B29" s="115" t="s">
        <v>227</v>
      </c>
      <c r="C29" s="2166" t="s">
        <v>2292</v>
      </c>
      <c r="D29" s="111">
        <f>ROUND($D$3*E29/$E$3,2)</f>
        <v>0</v>
      </c>
      <c r="E29" s="134">
        <f>SUM(F29:G29)</f>
        <v>0</v>
      </c>
      <c r="F29" s="142">
        <f>'数据-基础表'!BM5+'数据-基础表'!BO5</f>
        <v>0</v>
      </c>
      <c r="G29" s="144">
        <f>'数据-基础表'!BN5+'数据-基础表'!BP5</f>
        <v>0</v>
      </c>
      <c r="H29" s="3050"/>
      <c r="I29" s="3050"/>
      <c r="J29" s="3050"/>
      <c r="K29" s="3050"/>
      <c r="L29" s="3050"/>
      <c r="M29" s="3050"/>
      <c r="N29" s="3050"/>
      <c r="O29" s="3050"/>
      <c r="P29" s="3050"/>
    </row>
    <row r="30" spans="1:19">
      <c r="A30" s="137"/>
      <c r="B30" s="111"/>
      <c r="C30" s="145" t="s">
        <v>215</v>
      </c>
      <c r="D30" s="134">
        <f>SUM(D28:D29)</f>
        <v>354.27</v>
      </c>
      <c r="E30" s="134">
        <f>SUM(E28:E29)</f>
        <v>1062.82</v>
      </c>
      <c r="F30" s="134">
        <f>SUM(F28:F29)</f>
        <v>1062.82</v>
      </c>
      <c r="G30" s="112">
        <f>SUM(G28:G29)</f>
        <v>0</v>
      </c>
      <c r="H30" s="3050"/>
      <c r="I30" s="3050"/>
      <c r="J30" s="3050"/>
      <c r="K30" s="3050"/>
      <c r="L30" s="3050"/>
      <c r="M30" s="3050"/>
      <c r="N30" s="3050"/>
      <c r="O30" s="3050"/>
      <c r="P30" s="3050"/>
    </row>
    <row r="31" spans="1:19" ht="32.25" customHeight="1" thickBot="1">
      <c r="A31" s="1296"/>
      <c r="B31" s="1297" t="s">
        <v>229</v>
      </c>
      <c r="C31" s="2183" t="s">
        <v>2294</v>
      </c>
      <c r="D31" s="1298">
        <f>D27+D30</f>
        <v>34818</v>
      </c>
      <c r="E31" s="1298">
        <f>E27+E30</f>
        <v>104454</v>
      </c>
      <c r="F31" s="1299">
        <f>F27+F30</f>
        <v>104454</v>
      </c>
      <c r="G31" s="1300">
        <f>G27+G30</f>
        <v>0</v>
      </c>
      <c r="H31" s="3050"/>
      <c r="I31" s="3050"/>
      <c r="J31" s="3050"/>
      <c r="K31" s="3050"/>
      <c r="L31" s="3050"/>
      <c r="M31" s="3050"/>
      <c r="N31" s="3050"/>
      <c r="O31" s="3050"/>
      <c r="P31" s="3050"/>
    </row>
    <row r="32" spans="1:19">
      <c r="A32" s="1871"/>
      <c r="B32" s="2195" t="s">
        <v>2293</v>
      </c>
      <c r="C32" s="2459"/>
      <c r="D32" s="1167"/>
      <c r="E32" s="1167">
        <f>SUMIF(C19:C26,"*住宅*",E19:E26)</f>
        <v>98168.48</v>
      </c>
      <c r="F32" s="1167"/>
      <c r="G32" s="1167"/>
      <c r="H32" s="3050"/>
      <c r="I32" s="3050"/>
      <c r="J32" s="3050"/>
      <c r="K32" s="3050"/>
      <c r="L32" s="3050"/>
      <c r="M32" s="3050"/>
      <c r="N32" s="3050"/>
      <c r="O32" s="3050"/>
      <c r="P32" s="3050"/>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L25" sqref="L25"/>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57"/>
      <c r="AO1" s="3057"/>
      <c r="AP1" s="3057"/>
      <c r="AQ1" s="3057"/>
      <c r="AR1" s="3057"/>
      <c r="AS1" s="3057"/>
      <c r="AT1" s="3057"/>
      <c r="AU1" s="3057"/>
      <c r="AV1" s="3057"/>
      <c r="AW1" s="3057"/>
      <c r="AX1" s="3057"/>
      <c r="AY1" s="3057"/>
      <c r="AZ1" s="3057"/>
    </row>
    <row r="2" spans="1:83" s="1172" customFormat="1" ht="15.75" thickBot="1">
      <c r="A2" s="147" t="s">
        <v>235</v>
      </c>
      <c r="B2" s="2191">
        <f>项目基本情况!D3</f>
        <v>44574</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60"/>
      <c r="AO2" s="3060"/>
      <c r="AP2" s="3060"/>
      <c r="AQ2" s="3060"/>
      <c r="AR2" s="3060"/>
      <c r="AS2" s="3060"/>
      <c r="AT2" s="3060"/>
      <c r="AU2" s="3060"/>
      <c r="AV2" s="3060"/>
      <c r="AW2" s="3060"/>
      <c r="AX2" s="3060"/>
      <c r="AY2" s="3060"/>
      <c r="AZ2" s="3060"/>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60"/>
      <c r="AO3" s="3060"/>
      <c r="AP3" s="3060"/>
      <c r="AQ3" s="3060"/>
      <c r="AR3" s="3060"/>
      <c r="AS3" s="3060"/>
      <c r="AT3" s="3060"/>
      <c r="AU3" s="3060"/>
      <c r="AV3" s="3060"/>
      <c r="AW3" s="3060"/>
      <c r="AX3" s="3060"/>
      <c r="AY3" s="3060"/>
      <c r="AZ3" s="3060"/>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60"/>
      <c r="AO4" s="3060"/>
      <c r="AP4" s="3060"/>
      <c r="AQ4" s="3060"/>
      <c r="AR4" s="3060"/>
      <c r="AS4" s="3060"/>
      <c r="AT4" s="3060"/>
      <c r="AU4" s="3060"/>
      <c r="AV4" s="3060"/>
      <c r="AW4" s="3060"/>
      <c r="AX4" s="3060"/>
      <c r="AY4" s="3060"/>
      <c r="AZ4" s="3060"/>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4">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3002</v>
      </c>
      <c r="O5" s="161" t="s">
        <v>246</v>
      </c>
      <c r="P5" s="163" t="s">
        <v>247</v>
      </c>
      <c r="Q5" s="164" t="s">
        <v>248</v>
      </c>
      <c r="R5" s="165" t="s">
        <v>249</v>
      </c>
      <c r="S5" s="2435" t="s">
        <v>2533</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71"/>
      <c r="AP5" s="3056" t="s">
        <v>2950</v>
      </c>
      <c r="AQ5" s="3071"/>
      <c r="AR5" s="3071"/>
      <c r="AS5" s="3071"/>
      <c r="AT5" s="3071"/>
      <c r="AU5" s="3071"/>
      <c r="AV5" s="3071"/>
      <c r="AW5" s="3071"/>
      <c r="AX5" s="3071"/>
      <c r="AY5" s="3071"/>
      <c r="AZ5" s="3071"/>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住宅</v>
      </c>
      <c r="B6" s="2190" t="str">
        <f>IF(A6=0,"","经营性")</f>
        <v>经营性</v>
      </c>
      <c r="C6" s="171" t="s">
        <v>903</v>
      </c>
      <c r="D6" s="2161">
        <f>SUMIF(项目基本情况!D$15:I$15,C6,项目基本情况!D$18:I$18)</f>
        <v>70</v>
      </c>
      <c r="E6" s="2162">
        <f>IF(B6="","",SUMIF(项目基本情况!D$15:I$15,C6,项目基本情况!D$17:I$17))</f>
        <v>69831</v>
      </c>
      <c r="F6" s="172">
        <f>SUMIF(项目基本情况!D$15:I$15,C6,项目基本情况!D$19:I$19)</f>
        <v>69.19</v>
      </c>
      <c r="G6" s="173">
        <f>IF(ISERROR(ROUND(POWER(1+H6,D6-F6)*(POWER(1+H6,F6)-1)/(POWER(1+H6,D6)-1),3)),0,ROUND(POWER(1+H6,D6-F6)*(POWER(1+H6,F6)-1)/(POWER(1+H6,D6)-1),3))</f>
        <v>0.998</v>
      </c>
      <c r="H6" s="2708">
        <v>4.4999999999999998E-2</v>
      </c>
      <c r="I6" s="2708">
        <v>0.05</v>
      </c>
      <c r="J6" s="174">
        <v>8.5000000000000006E-2</v>
      </c>
      <c r="K6" s="177">
        <f>SUMIF('数据-汇总表'!C$19:C$33,'数据-取费表'!A6,'数据-汇总表'!E$19:E$33)</f>
        <v>98168.48</v>
      </c>
      <c r="L6" s="2709">
        <v>2800</v>
      </c>
      <c r="M6" s="175">
        <f t="shared" ref="M6:M14" si="0">ROUND(K6*L6/10000,0)</f>
        <v>27487</v>
      </c>
      <c r="N6" s="2710">
        <v>0</v>
      </c>
      <c r="O6" s="175">
        <f>IF($N$5="成新度","——",ROUND(M6*N6,0))</f>
        <v>0</v>
      </c>
      <c r="P6" s="176">
        <f>IF($N$5="成新度","——",M6-O6)</f>
        <v>27487</v>
      </c>
      <c r="Q6" s="3297">
        <v>0.12</v>
      </c>
      <c r="R6" s="177">
        <f>SUMIF('数据-汇总表'!C$19:C$33,A6,'数据-汇总表'!R$19:R$33)</f>
        <v>33059.21</v>
      </c>
      <c r="S6" s="132">
        <f>IF('数据-汇总表'!$I$17="按面积比例",SUMIF('数据-汇总表'!C$19:C$33,A6,'数据-汇总表'!K$19:K$33),SUMIF('数据-汇总表'!C$19:C$33,A6,'数据-汇总表'!N$19:N$33))</f>
        <v>1009.13</v>
      </c>
      <c r="T6" s="2087">
        <f>IF($T$4="按面积比例",IF(ISERROR(ROUND($M$14*S6/S$16,0)),"0",ROUND($M$14*S6/S$16,0)),"需自行计算录入")</f>
        <v>283</v>
      </c>
      <c r="U6" s="178"/>
      <c r="V6" s="179"/>
      <c r="W6" s="179"/>
      <c r="X6" s="2174"/>
      <c r="Y6" s="180"/>
      <c r="Z6" s="181"/>
      <c r="AA6" s="174"/>
      <c r="AB6" s="174"/>
      <c r="AC6" s="2177"/>
      <c r="AD6" s="182"/>
      <c r="AE6" s="943">
        <f ca="1">IF(AN6="",0,SUMIF(INDIRECT("'"&amp;AN6&amp;"'"&amp;"!E:E"),$AE$5,INDIRECT("'"&amp;AN6&amp;"'"&amp;"!F:F")))</f>
        <v>0</v>
      </c>
      <c r="AF6" s="139"/>
      <c r="AG6" s="1179">
        <f>IF(AF6="",0,AE6-AF6)</f>
        <v>0</v>
      </c>
      <c r="AH6" s="139"/>
      <c r="AI6" s="185"/>
      <c r="AJ6" s="186"/>
      <c r="AK6" s="187"/>
      <c r="AL6" s="188"/>
      <c r="AM6" s="2720"/>
      <c r="AN6" s="2220"/>
      <c r="AO6" s="3060"/>
      <c r="AP6" s="1170">
        <f>ROUND(1-1/(1+H6)^F6,3)</f>
        <v>0.95199999999999996</v>
      </c>
      <c r="AQ6" s="3060"/>
      <c r="AR6" s="3060"/>
      <c r="AS6" s="3060"/>
      <c r="AT6" s="3060"/>
      <c r="AU6" s="3060"/>
      <c r="AV6" s="3060"/>
      <c r="AW6" s="3060"/>
      <c r="AX6" s="3060"/>
      <c r="AY6" s="3060"/>
      <c r="AZ6" s="3060"/>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t="str">
        <f>'数据-汇总表'!C20</f>
        <v>商业</v>
      </c>
      <c r="B7" s="2190" t="str">
        <f t="shared" ref="B7:B13" si="1">IF(A7=0,"","经营性")</f>
        <v>经营性</v>
      </c>
      <c r="C7" s="171" t="s">
        <v>2987</v>
      </c>
      <c r="D7" s="2161">
        <f>SUMIF(项目基本情况!D$15:I$15,C7,项目基本情况!D$18:I$18)</f>
        <v>40</v>
      </c>
      <c r="E7" s="2162">
        <f>IF(B7="","",SUMIF(项目基本情况!D$15:I$15,C7,项目基本情况!D$17:I$17))</f>
        <v>58874</v>
      </c>
      <c r="F7" s="172">
        <f>SUMIF(项目基本情况!D$15:I$15,C7,项目基本情况!D$19:I$19)</f>
        <v>39.17</v>
      </c>
      <c r="G7" s="173">
        <f t="shared" ref="G7:G11" si="2">IF(ISERROR(ROUND(POWER(1+H7,D7-F7)*(POWER(1+H7,F7)-1)/(POWER(1+H7,D7)-1),3)),0,ROUND(POWER(1+H7,D7-F7)*(POWER(1+H7,F7)-1)/(POWER(1+H7,D7)-1),3))</f>
        <v>0.99299999999999999</v>
      </c>
      <c r="H7" s="2708">
        <v>0.05</v>
      </c>
      <c r="I7" s="2708">
        <v>5.5E-2</v>
      </c>
      <c r="J7" s="174">
        <v>8.5000000000000006E-2</v>
      </c>
      <c r="K7" s="177">
        <f>SUMIF('数据-汇总表'!C$19:C$33,'数据-取费表'!A7,'数据-汇总表'!E$19:E$33)</f>
        <v>5222.7</v>
      </c>
      <c r="L7" s="2709">
        <v>3000</v>
      </c>
      <c r="M7" s="175">
        <f t="shared" si="0"/>
        <v>1567</v>
      </c>
      <c r="N7" s="2710">
        <v>0</v>
      </c>
      <c r="O7" s="175">
        <f t="shared" ref="O7:O14" si="3">IF($N$5="成新度","——",ROUND(M7*N7,0))</f>
        <v>0</v>
      </c>
      <c r="P7" s="176">
        <f t="shared" ref="P7:P14" si="4">IF($N$5="成新度","——",M7-O7)</f>
        <v>1567</v>
      </c>
      <c r="Q7" s="3297">
        <v>0.15</v>
      </c>
      <c r="R7" s="177">
        <f>SUMIF('数据-汇总表'!C$19:C$33,A7,'数据-汇总表'!R$19:R$33)</f>
        <v>1758.8000000000002</v>
      </c>
      <c r="S7" s="132">
        <f>IF('数据-汇总表'!$I$17="按面积比例",SUMIF('数据-汇总表'!C$19:C$33,A7,'数据-汇总表'!K$19:K$33),SUMIF('数据-汇总表'!C$19:C$33,A7,'数据-汇总表'!N$19:N$33))</f>
        <v>53.69</v>
      </c>
      <c r="T7" s="2087">
        <f t="shared" ref="T7:T13" si="5">IF($T$4="按面积比例",IF(ISERROR(ROUND($M$14*S7/S$16,0)),"0",ROUND($M$14*S7/S$16,0)),"需自行计算录入")</f>
        <v>15</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60"/>
      <c r="AP7" s="1170">
        <f t="shared" ref="AP7:AP13" si="8">ROUND(1-1/(1+H7)^F7,3)</f>
        <v>0.85199999999999998</v>
      </c>
      <c r="AQ7" s="3060"/>
      <c r="AR7" s="3060"/>
      <c r="AS7" s="3060"/>
      <c r="AT7" s="3060"/>
      <c r="AU7" s="3060"/>
      <c r="AV7" s="3060"/>
      <c r="AW7" s="3060"/>
      <c r="AX7" s="3060"/>
      <c r="AY7" s="3060"/>
      <c r="AZ7" s="3060"/>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708"/>
      <c r="I8" s="2708"/>
      <c r="J8" s="174"/>
      <c r="K8" s="177">
        <f>SUMIF('数据-汇总表'!C$19:C$33,'数据-取费表'!A8,'数据-汇总表'!E$19:E$33)</f>
        <v>0</v>
      </c>
      <c r="L8" s="2709"/>
      <c r="M8" s="175">
        <f>ROUND(K8*L8/10000,0)</f>
        <v>0</v>
      </c>
      <c r="N8" s="2710"/>
      <c r="O8" s="175">
        <f t="shared" si="3"/>
        <v>0</v>
      </c>
      <c r="P8" s="176">
        <f t="shared" si="4"/>
        <v>0</v>
      </c>
      <c r="Q8" s="271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60"/>
      <c r="AP8" s="1170">
        <f t="shared" si="8"/>
        <v>0</v>
      </c>
      <c r="AQ8" s="3060"/>
      <c r="AR8" s="3060"/>
      <c r="AS8" s="3060"/>
      <c r="AT8" s="3060"/>
      <c r="AU8" s="3060"/>
      <c r="AV8" s="3060"/>
      <c r="AW8" s="3060"/>
      <c r="AX8" s="3060"/>
      <c r="AY8" s="3060"/>
      <c r="AZ8" s="3060"/>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60"/>
      <c r="AP9" s="1170">
        <f t="shared" si="8"/>
        <v>0</v>
      </c>
      <c r="AQ9" s="3060"/>
      <c r="AR9" s="3060"/>
      <c r="AS9" s="3060"/>
      <c r="AT9" s="3060"/>
      <c r="AU9" s="3060"/>
      <c r="AV9" s="3060"/>
      <c r="AW9" s="3060"/>
      <c r="AX9" s="3060"/>
      <c r="AY9" s="3060"/>
      <c r="AZ9" s="3060"/>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60"/>
      <c r="AP10" s="1170">
        <f t="shared" si="8"/>
        <v>0</v>
      </c>
      <c r="AQ10" s="3060"/>
      <c r="AR10" s="3060"/>
      <c r="AS10" s="3060"/>
      <c r="AT10" s="3060"/>
      <c r="AU10" s="3060"/>
      <c r="AV10" s="3060"/>
      <c r="AW10" s="3060"/>
      <c r="AX10" s="3060"/>
      <c r="AY10" s="3060"/>
      <c r="AZ10" s="3060"/>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60"/>
      <c r="AP11" s="1170">
        <f t="shared" si="8"/>
        <v>0</v>
      </c>
      <c r="AQ11" s="3060"/>
      <c r="AR11" s="3060"/>
      <c r="AS11" s="3060"/>
      <c r="AT11" s="3060"/>
      <c r="AU11" s="3060"/>
      <c r="AV11" s="3060"/>
      <c r="AW11" s="3060"/>
      <c r="AX11" s="3060"/>
      <c r="AY11" s="3060"/>
      <c r="AZ11" s="3060"/>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60"/>
      <c r="AP12" s="1170">
        <f t="shared" si="8"/>
        <v>0</v>
      </c>
      <c r="AQ12" s="3060"/>
      <c r="AR12" s="3060"/>
      <c r="AS12" s="3060"/>
      <c r="AT12" s="3060"/>
      <c r="AU12" s="3060"/>
      <c r="AV12" s="3060"/>
      <c r="AW12" s="3060"/>
      <c r="AX12" s="3060"/>
      <c r="AY12" s="3060"/>
      <c r="AZ12" s="3060"/>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60"/>
      <c r="AP13" s="1170">
        <f t="shared" si="8"/>
        <v>0</v>
      </c>
      <c r="AQ13" s="3060"/>
      <c r="AR13" s="3060"/>
      <c r="AS13" s="3060"/>
      <c r="AT13" s="3060"/>
      <c r="AU13" s="3060"/>
      <c r="AV13" s="3060"/>
      <c r="AW13" s="3060"/>
      <c r="AX13" s="3060"/>
      <c r="AY13" s="3060"/>
      <c r="AZ13" s="3060"/>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1062.82</v>
      </c>
      <c r="L14" s="191">
        <f>L6</f>
        <v>2800</v>
      </c>
      <c r="M14" s="175">
        <f t="shared" si="0"/>
        <v>298</v>
      </c>
      <c r="N14" s="192"/>
      <c r="O14" s="175">
        <f t="shared" si="3"/>
        <v>0</v>
      </c>
      <c r="P14" s="176">
        <f t="shared" si="4"/>
        <v>298</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60"/>
      <c r="AO14" s="3060"/>
      <c r="AP14" s="3060"/>
      <c r="AQ14" s="3060"/>
      <c r="AR14" s="3060"/>
      <c r="AS14" s="3060"/>
      <c r="AT14" s="3060"/>
      <c r="AU14" s="3060"/>
      <c r="AV14" s="3060"/>
      <c r="AW14" s="3060"/>
      <c r="AX14" s="3060"/>
      <c r="AY14" s="3060"/>
      <c r="AZ14" s="3060"/>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60"/>
      <c r="AO15" s="3060"/>
      <c r="AP15" s="3060"/>
      <c r="AQ15" s="3060"/>
      <c r="AR15" s="3060"/>
      <c r="AS15" s="3060"/>
      <c r="AT15" s="3060"/>
      <c r="AU15" s="3060"/>
      <c r="AV15" s="3060"/>
      <c r="AW15" s="3060"/>
      <c r="AX15" s="3060"/>
      <c r="AY15" s="3060"/>
      <c r="AZ15" s="3060"/>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104454</v>
      </c>
      <c r="L16" s="204">
        <f>ROUND(M16*10000/SUM(K6:K14),0)</f>
        <v>2810</v>
      </c>
      <c r="M16" s="204">
        <f>SUM(M6:M14)</f>
        <v>29352</v>
      </c>
      <c r="N16" s="205">
        <f>ROUND(SUMPRODUCT(M6:M14,N6:N14)/M16,3)</f>
        <v>0</v>
      </c>
      <c r="O16" s="204">
        <f>SUM(O6:O14)</f>
        <v>0</v>
      </c>
      <c r="P16" s="204">
        <f>SUM(P6:P14)</f>
        <v>29352</v>
      </c>
      <c r="Q16" s="206">
        <f>ROUND(SUMPRODUCT(Q6:Q13,K6:K13)/SUMPRODUCT((Q6:Q13&gt;0)*(K6:K13)),2)</f>
        <v>0.12</v>
      </c>
      <c r="R16" s="2164">
        <f>SUM(R6:R13)</f>
        <v>34818.01</v>
      </c>
      <c r="S16" s="207">
        <f>SUM(S6:S13)</f>
        <v>1062.82</v>
      </c>
      <c r="T16" s="208">
        <f>IF(SUMIF(T6:T13,"&lt;9E307")=M14,SUMIF(T6:T13,"&lt;9E307"),"有误，请检查")</f>
        <v>298</v>
      </c>
      <c r="U16" s="209"/>
      <c r="V16" s="210"/>
      <c r="W16" s="210"/>
      <c r="X16" s="213"/>
      <c r="Y16" s="211"/>
      <c r="Z16" s="212"/>
      <c r="AA16" s="210"/>
      <c r="AB16" s="210"/>
      <c r="AC16" s="213"/>
      <c r="AD16" s="213"/>
      <c r="AE16" s="209"/>
      <c r="AF16" s="210"/>
      <c r="AG16" s="211"/>
      <c r="AH16" s="210"/>
      <c r="AI16" s="212"/>
      <c r="AJ16" s="212"/>
      <c r="AK16" s="210"/>
      <c r="AL16" s="210"/>
      <c r="AM16" s="211"/>
      <c r="AN16" s="3060"/>
      <c r="AO16" s="3060"/>
      <c r="AP16" s="1170">
        <f>ROUND(SUMPRODUCT(AP6:AP13,K6:K13)/SUMPRODUCT((AP6:AP13&gt;0)*(K6:K13)),3)</f>
        <v>0.94699999999999995</v>
      </c>
      <c r="AQ16" s="3060"/>
      <c r="AR16" s="3060"/>
      <c r="AS16" s="3060"/>
      <c r="AT16" s="3060"/>
      <c r="AU16" s="3060"/>
      <c r="AV16" s="3060"/>
      <c r="AW16" s="3060"/>
      <c r="AX16" s="3060"/>
      <c r="AY16" s="3060"/>
      <c r="AZ16" s="3060"/>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57"/>
      <c r="C17" s="3057"/>
      <c r="D17" s="3058"/>
      <c r="E17" s="3058"/>
      <c r="F17" s="3057"/>
      <c r="G17" s="3057"/>
      <c r="H17" s="3057"/>
      <c r="I17" s="3057"/>
      <c r="J17" s="3057"/>
      <c r="K17" s="3059"/>
      <c r="L17" s="3059"/>
      <c r="M17" s="3057"/>
      <c r="N17" s="3057"/>
      <c r="O17" s="3057"/>
      <c r="P17" s="3057"/>
      <c r="Q17" s="3057"/>
      <c r="R17" s="3057"/>
      <c r="S17" s="3057"/>
      <c r="T17" s="3057"/>
      <c r="U17" s="3057"/>
      <c r="V17" s="3057"/>
      <c r="W17" s="3057"/>
      <c r="X17" s="3057"/>
      <c r="Y17" s="3057"/>
      <c r="Z17" s="3057"/>
      <c r="AA17" s="3057"/>
      <c r="AB17" s="3057"/>
      <c r="AC17" s="3057"/>
      <c r="AD17" s="3057"/>
      <c r="AE17" s="3057"/>
      <c r="AF17" s="3057"/>
      <c r="AG17" s="3057"/>
      <c r="AH17" s="3057"/>
      <c r="AI17" s="3057"/>
      <c r="AJ17" s="3057"/>
      <c r="AK17" s="3057"/>
      <c r="AL17" s="3057"/>
      <c r="AM17" s="3057"/>
      <c r="AN17" s="3057"/>
      <c r="AO17" s="3057"/>
      <c r="AP17" s="3057"/>
      <c r="AQ17" s="3057"/>
      <c r="AR17" s="3057"/>
      <c r="AS17" s="3057"/>
      <c r="AT17" s="3057"/>
      <c r="AU17" s="3057"/>
      <c r="AV17" s="3057"/>
      <c r="AW17" s="3057"/>
      <c r="AX17" s="3057"/>
      <c r="AY17" s="3057"/>
      <c r="AZ17" s="3057"/>
    </row>
    <row r="18" spans="1:83" ht="15" thickBot="1">
      <c r="A18" s="148" t="s">
        <v>263</v>
      </c>
      <c r="B18" s="3060"/>
      <c r="C18" s="3060"/>
      <c r="D18" s="3061"/>
      <c r="E18" s="3060"/>
      <c r="F18" s="3060"/>
      <c r="G18" s="3060"/>
      <c r="H18" s="3060"/>
      <c r="I18" s="3060"/>
      <c r="J18" s="3060"/>
      <c r="K18" s="3394" t="s">
        <v>2992</v>
      </c>
      <c r="L18" s="3395" t="s">
        <v>2993</v>
      </c>
      <c r="M18" s="3397" t="s">
        <v>2994</v>
      </c>
      <c r="N18" s="3397"/>
      <c r="O18" s="3398"/>
      <c r="P18" s="3397" t="s">
        <v>2995</v>
      </c>
      <c r="Q18" s="3397"/>
      <c r="R18" s="3057"/>
      <c r="S18" s="3057"/>
      <c r="T18" s="3057"/>
      <c r="U18" s="3057"/>
      <c r="V18" s="3057"/>
      <c r="W18" s="3057"/>
      <c r="X18" s="3057"/>
      <c r="Y18" s="3057"/>
      <c r="Z18" s="3057"/>
      <c r="AA18" s="3057"/>
      <c r="AB18" s="3057"/>
      <c r="AC18" s="3057"/>
      <c r="AD18" s="3057"/>
      <c r="AE18" s="3057"/>
      <c r="AF18" s="3057"/>
      <c r="AG18" s="3057"/>
      <c r="AH18" s="3057"/>
      <c r="AI18" s="3057"/>
      <c r="AJ18" s="3057"/>
      <c r="AK18" s="3057"/>
      <c r="AL18" s="3057"/>
      <c r="AM18" s="3057"/>
      <c r="AN18" s="3057"/>
      <c r="AO18" s="3057"/>
      <c r="AP18" s="3057"/>
      <c r="AQ18" s="3057"/>
      <c r="AR18" s="3057"/>
      <c r="AS18" s="3057"/>
      <c r="AT18" s="3057"/>
      <c r="AU18" s="3057"/>
      <c r="AV18" s="3057"/>
      <c r="AW18" s="3057"/>
      <c r="AX18" s="3057"/>
      <c r="AY18" s="3057"/>
      <c r="AZ18" s="3057"/>
    </row>
    <row r="19" spans="1:83" ht="14.25">
      <c r="A19" s="215" t="s">
        <v>264</v>
      </c>
      <c r="B19" s="216"/>
      <c r="C19" s="3072" t="s">
        <v>2962</v>
      </c>
      <c r="D19" s="3061"/>
      <c r="E19" s="3060"/>
      <c r="F19" s="3060"/>
      <c r="G19" s="3060"/>
      <c r="H19" s="3060"/>
      <c r="I19" s="3060"/>
      <c r="J19" s="3060"/>
      <c r="K19" s="3394"/>
      <c r="L19" s="3396"/>
      <c r="M19" s="3284" t="s">
        <v>2996</v>
      </c>
      <c r="N19" s="3284" t="s">
        <v>2997</v>
      </c>
      <c r="O19" s="3285" t="s">
        <v>2998</v>
      </c>
      <c r="P19" s="3399"/>
      <c r="Q19" s="3399"/>
      <c r="R19" s="3057"/>
      <c r="S19" s="3057"/>
      <c r="T19" s="3057"/>
      <c r="U19" s="3057"/>
      <c r="V19" s="3057"/>
      <c r="W19" s="3057"/>
      <c r="X19" s="3057"/>
      <c r="Y19" s="3057"/>
      <c r="Z19" s="3057"/>
      <c r="AA19" s="3057"/>
      <c r="AB19" s="3057"/>
      <c r="AC19" s="3057"/>
      <c r="AD19" s="3057"/>
      <c r="AE19" s="3057"/>
      <c r="AF19" s="3057"/>
      <c r="AG19" s="3057"/>
      <c r="AH19" s="3057"/>
      <c r="AI19" s="3057"/>
      <c r="AJ19" s="3057"/>
      <c r="AK19" s="3057"/>
      <c r="AL19" s="3057"/>
      <c r="AM19" s="3057"/>
      <c r="AN19" s="3057"/>
      <c r="AO19" s="3057"/>
      <c r="AP19" s="3057"/>
      <c r="AQ19" s="3057"/>
      <c r="AR19" s="3057"/>
      <c r="AS19" s="3057"/>
      <c r="AT19" s="3057"/>
      <c r="AU19" s="3057"/>
      <c r="AV19" s="3057"/>
      <c r="AW19" s="3057"/>
      <c r="AX19" s="3057"/>
      <c r="AY19" s="3057"/>
      <c r="AZ19" s="3057"/>
    </row>
    <row r="20" spans="1:83" ht="14.25">
      <c r="A20" s="217" t="s">
        <v>265</v>
      </c>
      <c r="B20" s="218">
        <v>2</v>
      </c>
      <c r="C20" s="3072" t="s">
        <v>2307</v>
      </c>
      <c r="D20" s="3061"/>
      <c r="E20" s="3060"/>
      <c r="F20" s="3060"/>
      <c r="G20" s="3060"/>
      <c r="H20" s="3060"/>
      <c r="I20" s="3060"/>
      <c r="J20" s="3060"/>
      <c r="K20" s="3286">
        <v>11</v>
      </c>
      <c r="L20" s="3287" t="s">
        <v>2999</v>
      </c>
      <c r="M20" s="3288">
        <v>1634</v>
      </c>
      <c r="N20" s="3288">
        <v>1968</v>
      </c>
      <c r="O20" s="3289">
        <v>2378</v>
      </c>
      <c r="P20" s="3393"/>
      <c r="Q20" s="3393"/>
      <c r="R20" s="3057"/>
      <c r="S20" s="3057"/>
      <c r="T20" s="3057"/>
      <c r="U20" s="3057"/>
      <c r="V20" s="3057"/>
      <c r="W20" s="3057"/>
      <c r="X20" s="3057"/>
      <c r="Y20" s="3057"/>
      <c r="Z20" s="3057"/>
      <c r="AA20" s="3057"/>
      <c r="AB20" s="3057"/>
      <c r="AC20" s="3057"/>
      <c r="AD20" s="3057"/>
      <c r="AE20" s="3057"/>
      <c r="AF20" s="3057"/>
      <c r="AG20" s="3057"/>
      <c r="AH20" s="3057"/>
      <c r="AI20" s="3057"/>
      <c r="AJ20" s="3057"/>
      <c r="AK20" s="3057"/>
      <c r="AL20" s="3057"/>
      <c r="AM20" s="3057"/>
      <c r="AN20" s="3057"/>
      <c r="AO20" s="3057"/>
      <c r="AP20" s="3057"/>
      <c r="AQ20" s="3057"/>
      <c r="AR20" s="3057"/>
      <c r="AS20" s="3057"/>
      <c r="AT20" s="3057"/>
      <c r="AU20" s="3057"/>
      <c r="AV20" s="3057"/>
      <c r="AW20" s="3057"/>
      <c r="AX20" s="3057"/>
      <c r="AY20" s="3057"/>
      <c r="AZ20" s="3057"/>
    </row>
    <row r="21" spans="1:83" ht="14.25">
      <c r="A21" s="219" t="s">
        <v>266</v>
      </c>
      <c r="B21" s="218"/>
      <c r="C21" s="3060"/>
      <c r="D21" s="3061"/>
      <c r="E21" s="3060"/>
      <c r="F21" s="3060"/>
      <c r="G21" s="3060"/>
      <c r="H21" s="3060"/>
      <c r="I21" s="3060"/>
      <c r="J21" s="3060"/>
      <c r="K21" s="3059"/>
      <c r="L21" s="3059"/>
      <c r="M21" s="3057"/>
      <c r="N21" s="3057"/>
      <c r="O21" s="3057"/>
      <c r="P21" s="3057"/>
      <c r="Q21" s="3057"/>
      <c r="R21" s="3057"/>
      <c r="S21" s="3057"/>
      <c r="T21" s="3057"/>
      <c r="U21" s="3057"/>
      <c r="V21" s="3057"/>
      <c r="W21" s="3057"/>
      <c r="X21" s="3057"/>
      <c r="Y21" s="3057"/>
      <c r="Z21" s="3057"/>
      <c r="AA21" s="3057"/>
      <c r="AB21" s="3057"/>
      <c r="AC21" s="3057"/>
      <c r="AD21" s="3057"/>
      <c r="AE21" s="3057"/>
      <c r="AF21" s="3057"/>
      <c r="AG21" s="3057"/>
      <c r="AH21" s="3057"/>
      <c r="AI21" s="3057"/>
      <c r="AJ21" s="3057"/>
      <c r="AK21" s="3057"/>
      <c r="AL21" s="3057"/>
      <c r="AM21" s="3057"/>
      <c r="AN21" s="3057"/>
      <c r="AO21" s="3057"/>
      <c r="AP21" s="3057"/>
      <c r="AQ21" s="3057"/>
      <c r="AR21" s="3057"/>
      <c r="AS21" s="3057"/>
      <c r="AT21" s="3057"/>
      <c r="AU21" s="3057"/>
      <c r="AV21" s="3057"/>
      <c r="AW21" s="3057"/>
      <c r="AX21" s="3057"/>
      <c r="AY21" s="3057"/>
      <c r="AZ21" s="3057"/>
    </row>
    <row r="22" spans="1:83" ht="14.25">
      <c r="A22" s="217" t="s">
        <v>267</v>
      </c>
      <c r="B22" s="220">
        <f>B19+B20</f>
        <v>2</v>
      </c>
      <c r="C22" s="3060"/>
      <c r="D22" s="3061"/>
      <c r="E22" s="3060"/>
      <c r="F22" s="3060"/>
      <c r="G22" s="3060"/>
      <c r="H22" s="3060"/>
      <c r="I22" s="3060"/>
      <c r="J22" s="3060"/>
      <c r="K22" s="3290" t="s">
        <v>3000</v>
      </c>
      <c r="L22" s="3291">
        <f>K16</f>
        <v>104454</v>
      </c>
      <c r="M22" s="3057">
        <v>2400</v>
      </c>
      <c r="N22" s="3057">
        <f>L22*M22/10000</f>
        <v>25068.959999999999</v>
      </c>
      <c r="O22" s="3057"/>
      <c r="P22" s="3057"/>
      <c r="Q22" s="3299">
        <f>Q16/B20</f>
        <v>0.06</v>
      </c>
      <c r="R22" s="3057"/>
      <c r="S22" s="3057"/>
      <c r="T22" s="3057"/>
      <c r="U22" s="3057"/>
      <c r="V22" s="3057"/>
      <c r="W22" s="3057"/>
      <c r="X22" s="3057"/>
      <c r="Y22" s="3057"/>
      <c r="Z22" s="3057"/>
      <c r="AA22" s="3057"/>
      <c r="AB22" s="3057"/>
      <c r="AC22" s="3057"/>
      <c r="AD22" s="3057"/>
      <c r="AE22" s="3057"/>
      <c r="AF22" s="3057"/>
      <c r="AG22" s="3057"/>
      <c r="AH22" s="3057"/>
      <c r="AI22" s="3057"/>
      <c r="AJ22" s="3057"/>
      <c r="AK22" s="3057"/>
      <c r="AL22" s="3057"/>
      <c r="AM22" s="3057"/>
      <c r="AN22" s="3057"/>
      <c r="AO22" s="3057"/>
      <c r="AP22" s="3057"/>
      <c r="AQ22" s="3057"/>
      <c r="AR22" s="3057"/>
      <c r="AS22" s="3057"/>
      <c r="AT22" s="3057"/>
      <c r="AU22" s="3057"/>
      <c r="AV22" s="3057"/>
      <c r="AW22" s="3057"/>
      <c r="AX22" s="3057"/>
      <c r="AY22" s="3057"/>
      <c r="AZ22" s="3057"/>
    </row>
    <row r="23" spans="1:83" ht="14.25">
      <c r="A23" s="219" t="s">
        <v>268</v>
      </c>
      <c r="B23" s="220">
        <f>B19+B21</f>
        <v>0</v>
      </c>
      <c r="C23" s="3060"/>
      <c r="D23" s="3061"/>
      <c r="E23" s="3060"/>
      <c r="F23" s="3060"/>
      <c r="G23" s="3060"/>
      <c r="H23" s="3060"/>
      <c r="I23" s="3060"/>
      <c r="J23" s="3060">
        <v>0.2</v>
      </c>
      <c r="K23" s="3290" t="s">
        <v>3001</v>
      </c>
      <c r="L23" s="3059">
        <f>L22*J23</f>
        <v>20890.800000000003</v>
      </c>
      <c r="M23" s="3057">
        <f>M22</f>
        <v>2400</v>
      </c>
      <c r="N23" s="3057">
        <f>L23*M23/10000</f>
        <v>5013.7920000000004</v>
      </c>
      <c r="O23" s="3057"/>
      <c r="P23" s="3057"/>
      <c r="Q23" s="3057"/>
      <c r="R23" s="3057"/>
      <c r="S23" s="3057"/>
      <c r="T23" s="3057"/>
      <c r="U23" s="3057"/>
      <c r="V23" s="3057"/>
      <c r="W23" s="3057"/>
      <c r="X23" s="3057"/>
      <c r="Y23" s="3057"/>
      <c r="Z23" s="3057"/>
      <c r="AA23" s="3057"/>
      <c r="AB23" s="3057"/>
      <c r="AC23" s="3057"/>
      <c r="AD23" s="3057"/>
      <c r="AE23" s="3057"/>
      <c r="AF23" s="3057"/>
      <c r="AG23" s="3057"/>
      <c r="AH23" s="3057"/>
      <c r="AI23" s="3057"/>
      <c r="AJ23" s="3057"/>
      <c r="AK23" s="3057"/>
      <c r="AL23" s="3057"/>
      <c r="AM23" s="3057"/>
      <c r="AN23" s="3057"/>
      <c r="AO23" s="3057"/>
      <c r="AP23" s="3057"/>
      <c r="AQ23" s="3057"/>
      <c r="AR23" s="3057"/>
      <c r="AS23" s="3057"/>
      <c r="AT23" s="3057"/>
      <c r="AU23" s="3057"/>
      <c r="AV23" s="3057"/>
      <c r="AW23" s="3057"/>
      <c r="AX23" s="3057"/>
      <c r="AY23" s="3057"/>
      <c r="AZ23" s="3057"/>
    </row>
    <row r="24" spans="1:83" ht="15" thickBot="1">
      <c r="A24" s="221" t="s">
        <v>269</v>
      </c>
      <c r="B24" s="222">
        <f>B20-B21</f>
        <v>2</v>
      </c>
      <c r="C24" s="3060"/>
      <c r="D24" s="3061"/>
      <c r="E24" s="3060"/>
      <c r="F24" s="3060"/>
      <c r="G24" s="3060"/>
      <c r="H24" s="3060"/>
      <c r="I24" s="3060"/>
      <c r="J24" s="3060"/>
      <c r="K24" s="3059"/>
      <c r="L24" s="3291">
        <f>L22+L23</f>
        <v>125344.8</v>
      </c>
      <c r="M24" s="3057"/>
      <c r="N24" s="3291">
        <f>N22+N23</f>
        <v>30082.752</v>
      </c>
      <c r="O24" s="3057"/>
      <c r="P24" s="3057"/>
      <c r="Q24" s="3057"/>
      <c r="R24" s="3057"/>
      <c r="S24" s="3057"/>
      <c r="T24" s="3057"/>
      <c r="U24" s="3057"/>
      <c r="V24" s="3057"/>
      <c r="W24" s="3057"/>
      <c r="X24" s="3057"/>
      <c r="Y24" s="3057"/>
      <c r="Z24" s="3057"/>
      <c r="AA24" s="3057"/>
      <c r="AB24" s="3057"/>
      <c r="AC24" s="3057"/>
      <c r="AD24" s="3057"/>
      <c r="AE24" s="3057"/>
      <c r="AF24" s="3057"/>
      <c r="AG24" s="3057"/>
      <c r="AH24" s="3057"/>
      <c r="AI24" s="3057"/>
      <c r="AJ24" s="3057"/>
      <c r="AK24" s="3057"/>
      <c r="AL24" s="3057"/>
      <c r="AM24" s="3057"/>
      <c r="AN24" s="3057"/>
      <c r="AO24" s="3057"/>
      <c r="AP24" s="3057"/>
      <c r="AQ24" s="3057"/>
      <c r="AR24" s="3057"/>
      <c r="AS24" s="3057"/>
      <c r="AT24" s="3057"/>
      <c r="AU24" s="3057"/>
      <c r="AV24" s="3057"/>
      <c r="AW24" s="3057"/>
      <c r="AX24" s="3057"/>
      <c r="AY24" s="3057"/>
      <c r="AZ24" s="3057"/>
    </row>
    <row r="25" spans="1:83" ht="15" thickBot="1">
      <c r="A25" s="1173"/>
      <c r="B25" s="1170"/>
      <c r="C25" s="3060"/>
      <c r="D25" s="3061"/>
      <c r="E25" s="3060"/>
      <c r="F25" s="3060"/>
      <c r="G25" s="3060"/>
      <c r="H25" s="3060"/>
      <c r="I25" s="3060"/>
      <c r="J25" s="3060"/>
      <c r="K25" s="3059"/>
      <c r="L25" s="3059"/>
      <c r="M25" s="3057">
        <f>N24/K16*10000</f>
        <v>2880</v>
      </c>
      <c r="N25" s="3057"/>
      <c r="O25" s="3057"/>
      <c r="P25" s="3057"/>
      <c r="Q25" s="3057"/>
      <c r="R25" s="3057"/>
      <c r="S25" s="3057"/>
      <c r="T25" s="3057"/>
      <c r="U25" s="3057"/>
      <c r="V25" s="3057"/>
      <c r="W25" s="3057"/>
      <c r="X25" s="3057"/>
      <c r="Y25" s="3057"/>
      <c r="Z25" s="3057"/>
      <c r="AA25" s="3057"/>
      <c r="AB25" s="3057"/>
      <c r="AC25" s="3057"/>
      <c r="AD25" s="3057"/>
      <c r="AE25" s="3057"/>
      <c r="AF25" s="3057"/>
      <c r="AG25" s="3057"/>
      <c r="AH25" s="3057"/>
      <c r="AI25" s="3057"/>
      <c r="AJ25" s="3057"/>
      <c r="AK25" s="3057"/>
      <c r="AL25" s="3057"/>
      <c r="AM25" s="3057"/>
      <c r="AN25" s="3057"/>
      <c r="AO25" s="3057"/>
      <c r="AP25" s="3057"/>
      <c r="AQ25" s="3057"/>
      <c r="AR25" s="3057"/>
      <c r="AS25" s="3057"/>
      <c r="AT25" s="3057"/>
      <c r="AU25" s="3057"/>
      <c r="AV25" s="3057"/>
      <c r="AW25" s="3057"/>
      <c r="AX25" s="3057"/>
      <c r="AY25" s="3057"/>
      <c r="AZ25" s="3057"/>
    </row>
    <row r="26" spans="1:83" ht="15" thickBot="1">
      <c r="A26" s="147" t="s">
        <v>270</v>
      </c>
      <c r="B26" s="223" t="s">
        <v>271</v>
      </c>
      <c r="C26" s="3062" t="s">
        <v>272</v>
      </c>
      <c r="D26" s="3061"/>
      <c r="E26" s="3060"/>
      <c r="F26" s="3060"/>
      <c r="G26" s="3060"/>
      <c r="H26" s="3060"/>
      <c r="I26" s="3060"/>
      <c r="J26" s="3060"/>
      <c r="K26" s="3059"/>
      <c r="L26" s="3059"/>
      <c r="M26" s="3057"/>
      <c r="N26" s="3057"/>
      <c r="O26" s="3057"/>
      <c r="P26" s="3057"/>
      <c r="Q26" s="3057"/>
      <c r="R26" s="3057"/>
      <c r="S26" s="3057"/>
      <c r="T26" s="3057"/>
      <c r="U26" s="3057"/>
      <c r="V26" s="3057"/>
      <c r="W26" s="3057"/>
      <c r="X26" s="3057"/>
      <c r="Y26" s="3057"/>
      <c r="Z26" s="3057"/>
      <c r="AA26" s="3057"/>
      <c r="AB26" s="3057"/>
      <c r="AC26" s="3057"/>
      <c r="AD26" s="3057"/>
      <c r="AE26" s="3057"/>
      <c r="AF26" s="3057"/>
      <c r="AG26" s="3057"/>
      <c r="AH26" s="3057"/>
      <c r="AI26" s="3057"/>
      <c r="AJ26" s="3057"/>
      <c r="AK26" s="3057"/>
      <c r="AL26" s="3057"/>
      <c r="AM26" s="3057"/>
      <c r="AN26" s="3057"/>
      <c r="AO26" s="3057"/>
      <c r="AP26" s="3057"/>
      <c r="AQ26" s="3057"/>
      <c r="AR26" s="3057"/>
      <c r="AS26" s="3057"/>
      <c r="AT26" s="3057"/>
      <c r="AU26" s="3057"/>
      <c r="AV26" s="3057"/>
      <c r="AW26" s="3057"/>
      <c r="AX26" s="3057"/>
      <c r="AY26" s="3057"/>
      <c r="AZ26" s="3057"/>
    </row>
    <row r="27" spans="1:83" s="1181" customFormat="1" ht="27.75">
      <c r="A27" s="224" t="s">
        <v>2309</v>
      </c>
      <c r="B27" s="225">
        <v>90</v>
      </c>
      <c r="C27" s="3073" t="s">
        <v>2963</v>
      </c>
      <c r="D27" s="3064"/>
      <c r="E27" s="3065"/>
      <c r="F27" s="3065"/>
      <c r="G27" s="3060"/>
      <c r="H27" s="3060"/>
      <c r="I27" s="3060"/>
      <c r="J27" s="3060"/>
      <c r="K27" s="3059"/>
      <c r="L27" s="3059"/>
      <c r="M27" s="3057"/>
      <c r="N27" s="3057"/>
      <c r="O27" s="3057"/>
      <c r="P27" s="3057"/>
      <c r="Q27" s="3057"/>
      <c r="R27" s="3057"/>
      <c r="S27" s="3057"/>
      <c r="T27" s="3057"/>
      <c r="U27" s="3057"/>
      <c r="V27" s="3057"/>
      <c r="W27" s="3057"/>
      <c r="X27" s="3057"/>
      <c r="Y27" s="3057"/>
      <c r="Z27" s="3057"/>
      <c r="AA27" s="3057"/>
      <c r="AB27" s="3057"/>
      <c r="AC27" s="3057"/>
      <c r="AD27" s="3057"/>
      <c r="AE27" s="3057"/>
      <c r="AF27" s="3057"/>
      <c r="AG27" s="3057"/>
      <c r="AH27" s="3057"/>
      <c r="AI27" s="3057"/>
      <c r="AJ27" s="3057"/>
      <c r="AK27" s="3057"/>
      <c r="AL27" s="3057"/>
      <c r="AM27" s="3057"/>
      <c r="AN27" s="3057"/>
      <c r="AO27" s="3057"/>
      <c r="AP27" s="3057"/>
      <c r="AQ27" s="3057"/>
      <c r="AR27" s="3057"/>
      <c r="AS27" s="3057"/>
      <c r="AT27" s="3057"/>
      <c r="AU27" s="3057"/>
      <c r="AV27" s="3057"/>
      <c r="AW27" s="3057"/>
      <c r="AX27" s="3057"/>
      <c r="AY27" s="3057"/>
      <c r="AZ27" s="3057"/>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90</v>
      </c>
      <c r="C28" s="3066"/>
      <c r="D28" s="3064"/>
      <c r="E28" s="3065"/>
      <c r="F28" s="3065"/>
      <c r="G28" s="3060"/>
      <c r="H28" s="3060"/>
      <c r="I28" s="3060"/>
      <c r="J28" s="3060"/>
      <c r="K28" s="3059"/>
      <c r="L28" s="3059"/>
      <c r="M28" s="3057"/>
      <c r="N28" s="3057"/>
      <c r="O28" s="3057"/>
      <c r="P28" s="3057"/>
      <c r="Q28" s="3057"/>
      <c r="R28" s="3057"/>
      <c r="S28" s="3057"/>
      <c r="T28" s="3057"/>
      <c r="U28" s="3057"/>
      <c r="V28" s="3057"/>
      <c r="W28" s="3057"/>
      <c r="X28" s="3057"/>
      <c r="Y28" s="3057"/>
      <c r="Z28" s="3057"/>
      <c r="AA28" s="3057"/>
      <c r="AB28" s="3057"/>
      <c r="AC28" s="3057"/>
      <c r="AD28" s="3057"/>
      <c r="AE28" s="3057"/>
      <c r="AF28" s="3057"/>
      <c r="AG28" s="3057"/>
      <c r="AH28" s="3057"/>
      <c r="AI28" s="3057"/>
      <c r="AJ28" s="3057"/>
      <c r="AK28" s="3057"/>
      <c r="AL28" s="3057"/>
      <c r="AM28" s="3057"/>
      <c r="AN28" s="3057"/>
      <c r="AO28" s="3057"/>
      <c r="AP28" s="3057"/>
      <c r="AQ28" s="3057"/>
      <c r="AR28" s="3057"/>
      <c r="AS28" s="3057"/>
      <c r="AT28" s="3057"/>
      <c r="AU28" s="3057"/>
      <c r="AV28" s="3057"/>
      <c r="AW28" s="3057"/>
      <c r="AX28" s="3057"/>
      <c r="AY28" s="3057"/>
      <c r="AZ28" s="3057"/>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c r="C29" s="3074" t="s">
        <v>2311</v>
      </c>
      <c r="D29" s="3064"/>
      <c r="E29" s="3065"/>
      <c r="F29" s="3065"/>
      <c r="G29" s="3060"/>
      <c r="H29" s="3060"/>
      <c r="I29" s="3060"/>
      <c r="J29" s="3060"/>
      <c r="K29" s="3059"/>
      <c r="L29" s="3059"/>
      <c r="M29" s="3057"/>
      <c r="N29" s="3057"/>
      <c r="O29" s="3057"/>
      <c r="P29" s="3057"/>
      <c r="Q29" s="3057"/>
      <c r="R29" s="3057"/>
      <c r="S29" s="3057"/>
      <c r="T29" s="3057"/>
      <c r="U29" s="3057"/>
      <c r="V29" s="3057"/>
      <c r="W29" s="3057"/>
      <c r="X29" s="3057"/>
      <c r="Y29" s="3057"/>
      <c r="Z29" s="3057"/>
      <c r="AA29" s="3057"/>
      <c r="AB29" s="3057"/>
      <c r="AC29" s="3057"/>
      <c r="AD29" s="3057"/>
      <c r="AE29" s="3057"/>
      <c r="AF29" s="3057"/>
      <c r="AG29" s="3057"/>
      <c r="AH29" s="3057"/>
      <c r="AI29" s="3057"/>
      <c r="AJ29" s="3057"/>
      <c r="AK29" s="3057"/>
      <c r="AL29" s="3057"/>
      <c r="AM29" s="3057"/>
      <c r="AN29" s="3057"/>
      <c r="AO29" s="3057"/>
      <c r="AP29" s="3057"/>
      <c r="AQ29" s="3057"/>
      <c r="AR29" s="3057"/>
      <c r="AS29" s="3057"/>
      <c r="AT29" s="3057"/>
      <c r="AU29" s="3057"/>
      <c r="AV29" s="3057"/>
      <c r="AW29" s="3057"/>
      <c r="AX29" s="3057"/>
      <c r="AY29" s="3057"/>
      <c r="AZ29" s="3057"/>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66"/>
      <c r="D30" s="3064"/>
      <c r="E30" s="3065"/>
      <c r="F30" s="3065"/>
      <c r="G30" s="3060"/>
      <c r="H30" s="3060"/>
      <c r="I30" s="3060"/>
      <c r="J30" s="3060"/>
      <c r="K30" s="3059"/>
      <c r="L30" s="3059"/>
      <c r="M30" s="3057"/>
      <c r="N30" s="3057"/>
      <c r="O30" s="3057"/>
      <c r="P30" s="3057"/>
      <c r="Q30" s="3057"/>
      <c r="R30" s="3057"/>
      <c r="S30" s="3057"/>
      <c r="T30" s="3057"/>
      <c r="U30" s="3057"/>
      <c r="V30" s="3057"/>
      <c r="W30" s="3057"/>
      <c r="X30" s="3057"/>
      <c r="Y30" s="3057"/>
      <c r="Z30" s="3057"/>
      <c r="AA30" s="3057"/>
      <c r="AB30" s="3057"/>
      <c r="AC30" s="3057"/>
      <c r="AD30" s="3057"/>
      <c r="AE30" s="3057"/>
      <c r="AF30" s="3057"/>
      <c r="AG30" s="3057"/>
      <c r="AH30" s="3057"/>
      <c r="AI30" s="3057"/>
      <c r="AJ30" s="3057"/>
      <c r="AK30" s="3057"/>
      <c r="AL30" s="3057"/>
      <c r="AM30" s="3057"/>
      <c r="AN30" s="3057"/>
      <c r="AO30" s="3057"/>
      <c r="AP30" s="3057"/>
      <c r="AQ30" s="3057"/>
      <c r="AR30" s="3057"/>
      <c r="AS30" s="3057"/>
      <c r="AT30" s="3057"/>
      <c r="AU30" s="3057"/>
      <c r="AV30" s="3057"/>
      <c r="AW30" s="3057"/>
      <c r="AX30" s="3057"/>
      <c r="AY30" s="3057"/>
      <c r="AZ30" s="3057"/>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63"/>
      <c r="D31" s="3064"/>
      <c r="E31" s="3065"/>
      <c r="F31" s="3065"/>
      <c r="G31" s="3060"/>
      <c r="H31" s="3060"/>
      <c r="I31" s="3060"/>
      <c r="J31" s="3060"/>
      <c r="K31" s="3059"/>
      <c r="L31" s="3059"/>
      <c r="M31" s="3057"/>
      <c r="N31" s="3057"/>
      <c r="O31" s="3057"/>
      <c r="P31" s="3057"/>
      <c r="Q31" s="3057"/>
      <c r="R31" s="3057"/>
      <c r="S31" s="3057"/>
      <c r="T31" s="3057"/>
      <c r="U31" s="3057"/>
      <c r="V31" s="3057"/>
      <c r="W31" s="3057"/>
      <c r="X31" s="3057"/>
      <c r="Y31" s="3057"/>
      <c r="Z31" s="3057"/>
      <c r="AA31" s="3057"/>
      <c r="AB31" s="3057"/>
      <c r="AC31" s="3057"/>
      <c r="AD31" s="3057"/>
      <c r="AE31" s="3057"/>
      <c r="AF31" s="3057"/>
      <c r="AG31" s="3057"/>
      <c r="AH31" s="3057"/>
      <c r="AI31" s="3057"/>
      <c r="AJ31" s="3057"/>
      <c r="AK31" s="3057"/>
      <c r="AL31" s="3057"/>
      <c r="AM31" s="3057"/>
      <c r="AN31" s="3057"/>
      <c r="AO31" s="3057"/>
      <c r="AP31" s="3057"/>
      <c r="AQ31" s="3057"/>
      <c r="AR31" s="3057"/>
      <c r="AS31" s="3057"/>
      <c r="AT31" s="3057"/>
      <c r="AU31" s="3057"/>
      <c r="AV31" s="3057"/>
      <c r="AW31" s="3057"/>
      <c r="AX31" s="3057"/>
      <c r="AY31" s="3057"/>
      <c r="AZ31" s="3057"/>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66"/>
      <c r="D32" s="3061"/>
      <c r="E32" s="3060"/>
      <c r="F32" s="3060"/>
      <c r="G32" s="3060"/>
      <c r="H32" s="3060"/>
      <c r="I32" s="3060"/>
      <c r="J32" s="3060"/>
      <c r="K32" s="3059"/>
      <c r="L32" s="3059"/>
      <c r="M32" s="3057"/>
      <c r="N32" s="3057"/>
      <c r="O32" s="3057"/>
      <c r="P32" s="3057"/>
      <c r="Q32" s="3057"/>
      <c r="R32" s="3057"/>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057"/>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75" t="s">
        <v>2951</v>
      </c>
      <c r="D33" s="3064"/>
      <c r="E33" s="3065"/>
      <c r="F33" s="3065"/>
      <c r="G33" s="3060"/>
      <c r="H33" s="3060"/>
      <c r="I33" s="3060"/>
      <c r="J33" s="3060"/>
      <c r="K33" s="3059"/>
      <c r="L33" s="3059"/>
      <c r="M33" s="3057"/>
      <c r="N33" s="3057"/>
      <c r="O33" s="3057"/>
      <c r="P33" s="3057"/>
      <c r="Q33" s="3057"/>
      <c r="R33" s="3057"/>
      <c r="S33" s="3057"/>
      <c r="T33" s="3057"/>
      <c r="U33" s="3057"/>
      <c r="V33" s="3057"/>
      <c r="W33" s="3057"/>
      <c r="X33" s="3057"/>
      <c r="Y33" s="3057"/>
      <c r="Z33" s="3057"/>
      <c r="AA33" s="3057"/>
      <c r="AB33" s="3057"/>
      <c r="AC33" s="3057"/>
      <c r="AD33" s="3057"/>
      <c r="AE33" s="3057"/>
      <c r="AF33" s="3057"/>
      <c r="AG33" s="3057"/>
      <c r="AH33" s="3057"/>
      <c r="AI33" s="3057"/>
      <c r="AJ33" s="3057"/>
      <c r="AK33" s="3057"/>
      <c r="AL33" s="3057"/>
      <c r="AM33" s="3057"/>
      <c r="AN33" s="3057"/>
      <c r="AO33" s="3057"/>
      <c r="AP33" s="3057"/>
      <c r="AQ33" s="3057"/>
      <c r="AR33" s="3057"/>
      <c r="AS33" s="3057"/>
      <c r="AT33" s="3057"/>
      <c r="AU33" s="3057"/>
      <c r="AV33" s="3057"/>
      <c r="AW33" s="3057"/>
      <c r="AX33" s="3057"/>
      <c r="AY33" s="3057"/>
      <c r="AZ33" s="3057"/>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3296">
        <v>0.05</v>
      </c>
      <c r="C34" s="3075" t="s">
        <v>2952</v>
      </c>
      <c r="D34" s="3076" t="s">
        <v>2959</v>
      </c>
      <c r="E34" s="3057"/>
      <c r="F34" s="3060"/>
      <c r="G34" s="3060"/>
      <c r="H34" s="3060"/>
      <c r="I34" s="3060"/>
      <c r="J34" s="3060"/>
      <c r="K34" s="3059"/>
      <c r="L34" s="3059"/>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3057"/>
      <c r="AM34" s="3057"/>
      <c r="AN34" s="3057"/>
      <c r="AO34" s="3057"/>
      <c r="AP34" s="3057"/>
      <c r="AQ34" s="3057"/>
      <c r="AR34" s="3057"/>
      <c r="AS34" s="3057"/>
      <c r="AT34" s="3057"/>
      <c r="AU34" s="3057"/>
      <c r="AV34" s="3057"/>
      <c r="AW34" s="3057"/>
      <c r="AX34" s="3057"/>
      <c r="AY34" s="3057"/>
      <c r="AZ34" s="3057"/>
    </row>
    <row r="35" spans="1:83" ht="14.25">
      <c r="A35" s="226" t="s">
        <v>276</v>
      </c>
      <c r="B35" s="227">
        <v>200</v>
      </c>
      <c r="C35" s="3075" t="s">
        <v>2953</v>
      </c>
      <c r="D35" s="3061"/>
      <c r="E35" s="3060"/>
      <c r="F35" s="3060"/>
      <c r="G35" s="3060"/>
      <c r="H35" s="3060"/>
      <c r="I35" s="3060"/>
      <c r="J35" s="3060"/>
      <c r="K35" s="3059"/>
      <c r="L35" s="3059"/>
      <c r="M35" s="3057"/>
      <c r="N35" s="3057"/>
      <c r="O35" s="3057"/>
      <c r="P35" s="3057"/>
      <c r="Q35" s="3057"/>
      <c r="R35" s="3057"/>
      <c r="S35" s="3057"/>
      <c r="T35" s="3057"/>
      <c r="U35" s="3057"/>
      <c r="V35" s="3057"/>
      <c r="W35" s="3057"/>
      <c r="X35" s="3057"/>
      <c r="Y35" s="3057"/>
      <c r="Z35" s="3057"/>
      <c r="AA35" s="3057"/>
      <c r="AB35" s="3057"/>
      <c r="AC35" s="3057"/>
      <c r="AD35" s="3057"/>
      <c r="AE35" s="3057"/>
      <c r="AF35" s="3057"/>
      <c r="AG35" s="3057"/>
      <c r="AH35" s="3057"/>
      <c r="AI35" s="3057"/>
      <c r="AJ35" s="3057"/>
      <c r="AK35" s="3057"/>
      <c r="AL35" s="3057"/>
      <c r="AM35" s="3057"/>
      <c r="AN35" s="3057"/>
      <c r="AO35" s="3057"/>
      <c r="AP35" s="3057"/>
      <c r="AQ35" s="3057"/>
      <c r="AR35" s="3057"/>
      <c r="AS35" s="3057"/>
      <c r="AT35" s="3057"/>
      <c r="AU35" s="3057"/>
      <c r="AV35" s="3057"/>
      <c r="AW35" s="3057"/>
      <c r="AX35" s="3057"/>
      <c r="AY35" s="3057"/>
      <c r="AZ35" s="3057"/>
    </row>
    <row r="36" spans="1:83" ht="15" thickBot="1">
      <c r="A36" s="229" t="s">
        <v>277</v>
      </c>
      <c r="B36" s="232">
        <v>1.4999999999999999E-2</v>
      </c>
      <c r="C36" s="3075" t="s">
        <v>2954</v>
      </c>
      <c r="D36" s="3058"/>
      <c r="E36" s="3057"/>
      <c r="F36" s="3060"/>
      <c r="G36" s="3060"/>
      <c r="H36" s="3060"/>
      <c r="I36" s="3060"/>
      <c r="J36" s="3060"/>
      <c r="K36" s="3059"/>
      <c r="L36" s="3059"/>
      <c r="M36" s="3057"/>
      <c r="N36" s="3057"/>
      <c r="O36" s="3057"/>
      <c r="P36" s="3057"/>
      <c r="Q36" s="3057"/>
      <c r="R36" s="3057"/>
      <c r="S36" s="3057"/>
      <c r="T36" s="3057"/>
      <c r="U36" s="3057"/>
      <c r="V36" s="3057"/>
      <c r="W36" s="3057"/>
      <c r="X36" s="3057"/>
      <c r="Y36" s="3057"/>
      <c r="Z36" s="3057"/>
      <c r="AA36" s="3057"/>
      <c r="AB36" s="3057"/>
      <c r="AC36" s="3057"/>
      <c r="AD36" s="3057"/>
      <c r="AE36" s="3057"/>
      <c r="AF36" s="3057"/>
      <c r="AG36" s="3057"/>
      <c r="AH36" s="3057"/>
      <c r="AI36" s="3057"/>
      <c r="AJ36" s="3057"/>
      <c r="AK36" s="3057"/>
      <c r="AL36" s="3057"/>
      <c r="AM36" s="3057"/>
      <c r="AN36" s="3057"/>
      <c r="AO36" s="3057"/>
      <c r="AP36" s="3057"/>
      <c r="AQ36" s="3057"/>
      <c r="AR36" s="3057"/>
      <c r="AS36" s="3057"/>
      <c r="AT36" s="3057"/>
      <c r="AU36" s="3057"/>
      <c r="AV36" s="3057"/>
      <c r="AW36" s="3057"/>
      <c r="AX36" s="3057"/>
      <c r="AY36" s="3057"/>
      <c r="AZ36" s="3057"/>
    </row>
    <row r="37" spans="1:83" ht="14.25">
      <c r="A37" s="233" t="s">
        <v>280</v>
      </c>
      <c r="B37" s="234">
        <v>2.5000000000000001E-2</v>
      </c>
      <c r="C37" s="3075" t="s">
        <v>2955</v>
      </c>
      <c r="D37" s="3061"/>
      <c r="E37" s="3060"/>
      <c r="F37" s="3060"/>
      <c r="G37" s="3060"/>
      <c r="H37" s="3060"/>
      <c r="I37" s="3060"/>
      <c r="J37" s="3060"/>
      <c r="K37" s="3059"/>
      <c r="L37" s="3059"/>
      <c r="M37" s="3057"/>
      <c r="N37" s="3057"/>
      <c r="O37" s="3057"/>
      <c r="P37" s="3057"/>
      <c r="Q37" s="3057"/>
      <c r="R37" s="3057"/>
      <c r="S37" s="3057"/>
      <c r="T37" s="3057"/>
      <c r="U37" s="3057"/>
      <c r="V37" s="3057"/>
      <c r="W37" s="3057"/>
      <c r="X37" s="3057"/>
      <c r="Y37" s="3057"/>
      <c r="Z37" s="3057"/>
      <c r="AA37" s="3057"/>
      <c r="AB37" s="3057"/>
      <c r="AC37" s="3057"/>
      <c r="AD37" s="3057"/>
      <c r="AE37" s="3057"/>
      <c r="AF37" s="3057"/>
      <c r="AG37" s="3057"/>
      <c r="AH37" s="3057"/>
      <c r="AI37" s="3057"/>
      <c r="AJ37" s="3057"/>
      <c r="AK37" s="3057"/>
      <c r="AL37" s="3057"/>
      <c r="AM37" s="3057"/>
      <c r="AN37" s="3057"/>
      <c r="AO37" s="3057"/>
      <c r="AP37" s="3057"/>
      <c r="AQ37" s="3057"/>
      <c r="AR37" s="3057"/>
      <c r="AS37" s="3057"/>
      <c r="AT37" s="3057"/>
      <c r="AU37" s="3057"/>
      <c r="AV37" s="3057"/>
      <c r="AW37" s="3057"/>
      <c r="AX37" s="3057"/>
      <c r="AY37" s="3057"/>
      <c r="AZ37" s="3057"/>
    </row>
    <row r="38" spans="1:83" ht="14.25">
      <c r="A38" s="226" t="s">
        <v>281</v>
      </c>
      <c r="B38" s="231">
        <v>0.03</v>
      </c>
      <c r="C38" s="3075" t="s">
        <v>2955</v>
      </c>
      <c r="D38" s="3061"/>
      <c r="E38" s="3060"/>
      <c r="F38" s="3060"/>
      <c r="G38" s="3060"/>
      <c r="H38" s="3060"/>
      <c r="I38" s="3060"/>
      <c r="J38" s="3060"/>
      <c r="K38" s="3059"/>
      <c r="L38" s="3059"/>
      <c r="M38" s="3057"/>
      <c r="N38" s="3057"/>
      <c r="O38" s="3057"/>
      <c r="P38" s="3057"/>
      <c r="Q38" s="3057"/>
      <c r="R38" s="3057"/>
      <c r="S38" s="3057"/>
      <c r="T38" s="3057"/>
      <c r="U38" s="3057"/>
      <c r="V38" s="3057"/>
      <c r="W38" s="3057"/>
      <c r="X38" s="3057"/>
      <c r="Y38" s="3057"/>
      <c r="Z38" s="3057"/>
      <c r="AA38" s="3057"/>
      <c r="AB38" s="3057"/>
      <c r="AC38" s="3057"/>
      <c r="AD38" s="3057"/>
      <c r="AE38" s="3057"/>
      <c r="AF38" s="3057"/>
      <c r="AG38" s="3057"/>
      <c r="AH38" s="3057"/>
      <c r="AI38" s="3057"/>
      <c r="AJ38" s="3057"/>
      <c r="AK38" s="3057"/>
      <c r="AL38" s="3057"/>
      <c r="AM38" s="3057"/>
      <c r="AN38" s="3057"/>
      <c r="AO38" s="3057"/>
      <c r="AP38" s="3057"/>
      <c r="AQ38" s="3057"/>
      <c r="AR38" s="3057"/>
      <c r="AS38" s="3057"/>
      <c r="AT38" s="3057"/>
      <c r="AU38" s="3057"/>
      <c r="AV38" s="3057"/>
      <c r="AW38" s="3057"/>
      <c r="AX38" s="3057"/>
      <c r="AY38" s="3057"/>
      <c r="AZ38" s="3057"/>
    </row>
    <row r="39" spans="1:83" ht="14.25">
      <c r="A39" s="2313" t="s">
        <v>2418</v>
      </c>
      <c r="B39" s="773">
        <f ca="1">存贷款利率!C4</f>
        <v>1.4999999999999999E-2</v>
      </c>
      <c r="C39" s="3067"/>
      <c r="D39" s="3061"/>
      <c r="E39" s="3060"/>
      <c r="F39" s="3060"/>
      <c r="G39" s="3060"/>
      <c r="H39" s="3060"/>
      <c r="I39" s="3060"/>
      <c r="J39" s="3060"/>
      <c r="K39" s="3059"/>
      <c r="L39" s="3059"/>
      <c r="M39" s="3057"/>
      <c r="N39" s="3057"/>
      <c r="O39" s="3057"/>
      <c r="P39" s="3057"/>
      <c r="Q39" s="3057"/>
      <c r="R39" s="3057"/>
      <c r="S39" s="3057"/>
      <c r="T39" s="3057"/>
      <c r="U39" s="3057"/>
      <c r="V39" s="3057"/>
      <c r="W39" s="3057"/>
      <c r="X39" s="3057"/>
      <c r="Y39" s="3057"/>
      <c r="Z39" s="3057"/>
      <c r="AA39" s="3057"/>
      <c r="AB39" s="3057"/>
      <c r="AC39" s="3057"/>
      <c r="AD39" s="3057"/>
      <c r="AE39" s="3057"/>
      <c r="AF39" s="3057"/>
      <c r="AG39" s="3057"/>
      <c r="AH39" s="3057"/>
      <c r="AI39" s="3057"/>
      <c r="AJ39" s="3057"/>
      <c r="AK39" s="3057"/>
      <c r="AL39" s="3057"/>
      <c r="AM39" s="3057"/>
      <c r="AN39" s="3057"/>
      <c r="AO39" s="3057"/>
      <c r="AP39" s="3057"/>
      <c r="AQ39" s="3057"/>
      <c r="AR39" s="3057"/>
      <c r="AS39" s="3057"/>
      <c r="AT39" s="3057"/>
      <c r="AU39" s="3057"/>
      <c r="AV39" s="3057"/>
      <c r="AW39" s="3057"/>
      <c r="AX39" s="3057"/>
      <c r="AY39" s="3057"/>
      <c r="AZ39" s="3057"/>
    </row>
    <row r="40" spans="1:83" ht="27.75" thickBot="1">
      <c r="A40" s="3247" t="s">
        <v>3491</v>
      </c>
      <c r="B40" s="2307">
        <f ca="1">IF(A40="利息：取LPR",存贷款利率!E2,存贷款利率!E2+C40)</f>
        <v>4.3499999999999997E-2</v>
      </c>
      <c r="C40" s="3248">
        <v>5.0000000000000001E-3</v>
      </c>
      <c r="D40" s="3061"/>
      <c r="E40" s="3060"/>
      <c r="F40" s="3060"/>
      <c r="G40" s="3060"/>
      <c r="H40" s="3060"/>
      <c r="I40" s="3060"/>
      <c r="J40" s="3060"/>
      <c r="K40" s="3059"/>
      <c r="L40" s="3059"/>
      <c r="M40" s="3057"/>
      <c r="N40" s="3057"/>
      <c r="O40" s="3057"/>
      <c r="P40" s="3057"/>
      <c r="Q40" s="3057"/>
      <c r="R40" s="3057"/>
      <c r="S40" s="3057"/>
      <c r="T40" s="3057"/>
      <c r="U40" s="3057"/>
      <c r="V40" s="3057"/>
      <c r="W40" s="3057"/>
      <c r="X40" s="3057"/>
      <c r="Y40" s="3057"/>
      <c r="Z40" s="3057"/>
      <c r="AA40" s="3057"/>
      <c r="AB40" s="3057"/>
      <c r="AC40" s="3057"/>
      <c r="AD40" s="3057"/>
      <c r="AE40" s="3057"/>
      <c r="AF40" s="3057"/>
      <c r="AG40" s="3057"/>
      <c r="AH40" s="3057"/>
      <c r="AI40" s="3057"/>
      <c r="AJ40" s="3057"/>
      <c r="AK40" s="3057"/>
      <c r="AL40" s="3057"/>
      <c r="AM40" s="3057"/>
      <c r="AN40" s="3057"/>
      <c r="AO40" s="3057"/>
      <c r="AP40" s="3057"/>
      <c r="AQ40" s="3057"/>
      <c r="AR40" s="3057"/>
      <c r="AS40" s="3057"/>
      <c r="AT40" s="3057"/>
      <c r="AU40" s="3057"/>
      <c r="AV40" s="3057"/>
      <c r="AW40" s="3057"/>
      <c r="AX40" s="3057"/>
      <c r="AY40" s="3057"/>
      <c r="AZ40" s="3057"/>
    </row>
    <row r="41" spans="1:83" ht="14.25">
      <c r="A41" s="224" t="s">
        <v>282</v>
      </c>
      <c r="B41" s="236">
        <f>B42+B43</f>
        <v>5.5000000000000007E-2</v>
      </c>
      <c r="C41" s="3063"/>
      <c r="D41" s="3061"/>
      <c r="E41" s="3060"/>
      <c r="F41" s="3060"/>
      <c r="G41" s="3060"/>
      <c r="H41" s="3060"/>
      <c r="I41" s="3060"/>
      <c r="J41" s="3060"/>
      <c r="K41" s="3059"/>
      <c r="L41" s="3059"/>
      <c r="M41" s="3057"/>
      <c r="N41" s="3057"/>
      <c r="O41" s="3057"/>
      <c r="P41" s="3057"/>
      <c r="Q41" s="3057"/>
      <c r="R41" s="3057"/>
      <c r="S41" s="3057"/>
      <c r="T41" s="3057"/>
      <c r="U41" s="3057"/>
      <c r="V41" s="3057"/>
      <c r="W41" s="3057"/>
      <c r="X41" s="3057"/>
      <c r="Y41" s="3057"/>
      <c r="Z41" s="3057"/>
      <c r="AA41" s="3057"/>
      <c r="AB41" s="3057"/>
      <c r="AC41" s="3057"/>
      <c r="AD41" s="3057"/>
      <c r="AE41" s="3057"/>
      <c r="AF41" s="3057"/>
      <c r="AG41" s="3057"/>
      <c r="AH41" s="3057"/>
      <c r="AI41" s="3057"/>
      <c r="AJ41" s="3057"/>
      <c r="AK41" s="3057"/>
      <c r="AL41" s="3057"/>
      <c r="AM41" s="3057"/>
      <c r="AN41" s="3057"/>
      <c r="AO41" s="3057"/>
      <c r="AP41" s="3057"/>
      <c r="AQ41" s="3057"/>
      <c r="AR41" s="3057"/>
      <c r="AS41" s="3057"/>
      <c r="AT41" s="3057"/>
      <c r="AU41" s="3057"/>
      <c r="AV41" s="3057"/>
      <c r="AW41" s="3057"/>
      <c r="AX41" s="3057"/>
      <c r="AY41" s="3057"/>
      <c r="AZ41" s="3057"/>
    </row>
    <row r="42" spans="1:83" ht="14.25">
      <c r="A42" s="950" t="s">
        <v>283</v>
      </c>
      <c r="B42" s="238">
        <v>0.05</v>
      </c>
      <c r="C42" s="3077">
        <f>IF(B2&lt;DATE(2016,5,1),0,B42)</f>
        <v>0.05</v>
      </c>
      <c r="D42" s="3061"/>
      <c r="E42" s="3060"/>
      <c r="F42" s="3060"/>
      <c r="G42" s="3060"/>
      <c r="H42" s="3060"/>
      <c r="I42" s="3060"/>
      <c r="J42" s="3060"/>
      <c r="K42" s="3059"/>
      <c r="L42" s="3059"/>
      <c r="M42" s="3057"/>
      <c r="N42" s="3057"/>
      <c r="O42" s="3057"/>
      <c r="P42" s="3057"/>
      <c r="Q42" s="3057"/>
      <c r="R42" s="3057"/>
      <c r="S42" s="3057"/>
      <c r="T42" s="3057"/>
      <c r="U42" s="3057"/>
      <c r="V42" s="3057"/>
      <c r="W42" s="3057"/>
      <c r="X42" s="3057"/>
      <c r="Y42" s="3057"/>
      <c r="Z42" s="3057"/>
      <c r="AA42" s="3057"/>
      <c r="AB42" s="3057"/>
      <c r="AC42" s="3057"/>
      <c r="AD42" s="3057"/>
      <c r="AE42" s="3057"/>
      <c r="AF42" s="3057"/>
      <c r="AG42" s="3057"/>
      <c r="AH42" s="3057"/>
      <c r="AI42" s="3057"/>
      <c r="AJ42" s="3057"/>
      <c r="AK42" s="3057"/>
      <c r="AL42" s="3057"/>
      <c r="AM42" s="3057"/>
      <c r="AN42" s="3057"/>
      <c r="AO42" s="3057"/>
      <c r="AP42" s="3057"/>
      <c r="AQ42" s="3057"/>
      <c r="AR42" s="3057"/>
      <c r="AS42" s="3057"/>
      <c r="AT42" s="3057"/>
      <c r="AU42" s="3057"/>
      <c r="AV42" s="3057"/>
      <c r="AW42" s="3057"/>
      <c r="AX42" s="3057"/>
      <c r="AY42" s="3057"/>
      <c r="AZ42" s="3057"/>
    </row>
    <row r="43" spans="1:83" ht="14.25">
      <c r="A43" s="950" t="s">
        <v>284</v>
      </c>
      <c r="B43" s="239">
        <f>B42*(B44+B45+B46)+B47</f>
        <v>5.000000000000001E-3</v>
      </c>
      <c r="C43" s="3063"/>
      <c r="D43" s="3061"/>
      <c r="E43" s="3060"/>
      <c r="F43" s="3060"/>
      <c r="G43" s="3060"/>
      <c r="H43" s="3060"/>
      <c r="I43" s="3060"/>
      <c r="J43" s="3060"/>
      <c r="K43" s="3059"/>
      <c r="L43" s="3059"/>
      <c r="M43" s="3057"/>
      <c r="N43" s="3057"/>
      <c r="O43" s="3057"/>
      <c r="P43" s="3057"/>
      <c r="Q43" s="3057"/>
      <c r="R43" s="3057"/>
      <c r="S43" s="3057"/>
      <c r="T43" s="3057"/>
      <c r="U43" s="3057"/>
      <c r="V43" s="3057"/>
      <c r="W43" s="3057"/>
      <c r="X43" s="3057"/>
      <c r="Y43" s="3057"/>
      <c r="Z43" s="3057"/>
      <c r="AA43" s="3057"/>
      <c r="AB43" s="3057"/>
      <c r="AC43" s="3057"/>
      <c r="AD43" s="3057"/>
      <c r="AE43" s="3057"/>
      <c r="AF43" s="3057"/>
      <c r="AG43" s="3057"/>
      <c r="AH43" s="3057"/>
      <c r="AI43" s="3057"/>
      <c r="AJ43" s="3057"/>
      <c r="AK43" s="3057"/>
      <c r="AL43" s="3057"/>
      <c r="AM43" s="3057"/>
      <c r="AN43" s="3057"/>
      <c r="AO43" s="3057"/>
      <c r="AP43" s="3057"/>
      <c r="AQ43" s="3057"/>
      <c r="AR43" s="3057"/>
      <c r="AS43" s="3057"/>
      <c r="AT43" s="3057"/>
      <c r="AU43" s="3057"/>
      <c r="AV43" s="3057"/>
      <c r="AW43" s="3057"/>
      <c r="AX43" s="3057"/>
      <c r="AY43" s="3057"/>
      <c r="AZ43" s="3057"/>
    </row>
    <row r="44" spans="1:83" ht="14.25">
      <c r="A44" s="237" t="s">
        <v>285</v>
      </c>
      <c r="B44" s="240">
        <v>0.05</v>
      </c>
      <c r="C44" s="3075" t="s">
        <v>2960</v>
      </c>
      <c r="D44" s="3061"/>
      <c r="E44" s="3060"/>
      <c r="F44" s="3060"/>
      <c r="G44" s="3060"/>
      <c r="H44" s="3060"/>
      <c r="I44" s="3060"/>
      <c r="J44" s="3060"/>
      <c r="K44" s="3059"/>
      <c r="L44" s="3059"/>
      <c r="M44" s="3057"/>
      <c r="N44" s="3057"/>
      <c r="O44" s="3057"/>
      <c r="P44" s="3057"/>
      <c r="Q44" s="3057"/>
      <c r="R44" s="3057"/>
      <c r="S44" s="3057"/>
      <c r="T44" s="3057"/>
      <c r="U44" s="3057"/>
      <c r="V44" s="3057"/>
      <c r="W44" s="3057"/>
      <c r="X44" s="3057"/>
      <c r="Y44" s="3057"/>
      <c r="Z44" s="3057"/>
      <c r="AA44" s="3057"/>
      <c r="AB44" s="3057"/>
      <c r="AC44" s="3057"/>
      <c r="AD44" s="3057"/>
      <c r="AE44" s="3057"/>
      <c r="AF44" s="3057"/>
      <c r="AG44" s="3057"/>
      <c r="AH44" s="3057"/>
      <c r="AI44" s="3057"/>
      <c r="AJ44" s="3057"/>
      <c r="AK44" s="3057"/>
      <c r="AL44" s="3057"/>
      <c r="AM44" s="3057"/>
      <c r="AN44" s="3057"/>
      <c r="AO44" s="3057"/>
      <c r="AP44" s="3057"/>
      <c r="AQ44" s="3057"/>
      <c r="AR44" s="3057"/>
      <c r="AS44" s="3057"/>
      <c r="AT44" s="3057"/>
      <c r="AU44" s="3057"/>
      <c r="AV44" s="3057"/>
      <c r="AW44" s="3057"/>
      <c r="AX44" s="3057"/>
      <c r="AY44" s="3057"/>
      <c r="AZ44" s="3057"/>
    </row>
    <row r="45" spans="1:83" ht="14.25">
      <c r="A45" s="237" t="s">
        <v>286</v>
      </c>
      <c r="B45" s="238">
        <v>0.03</v>
      </c>
      <c r="C45" s="3078" t="s">
        <v>2956</v>
      </c>
      <c r="D45" s="3061"/>
      <c r="E45" s="3060"/>
      <c r="F45" s="3060"/>
      <c r="G45" s="3060"/>
      <c r="H45" s="3060"/>
      <c r="I45" s="3060"/>
      <c r="J45" s="3060"/>
      <c r="K45" s="3059"/>
      <c r="L45" s="3059"/>
      <c r="M45" s="3057"/>
      <c r="N45" s="3057"/>
      <c r="O45" s="3057"/>
      <c r="P45" s="3057"/>
      <c r="Q45" s="3057"/>
      <c r="R45" s="3057"/>
      <c r="S45" s="3057"/>
      <c r="T45" s="3057"/>
      <c r="U45" s="3057"/>
      <c r="V45" s="3057"/>
      <c r="W45" s="3057"/>
      <c r="X45" s="3057"/>
      <c r="Y45" s="3057"/>
      <c r="Z45" s="3057"/>
      <c r="AA45" s="3057"/>
      <c r="AB45" s="3057"/>
      <c r="AC45" s="3057"/>
      <c r="AD45" s="3057"/>
      <c r="AE45" s="3057"/>
      <c r="AF45" s="3057"/>
      <c r="AG45" s="3057"/>
      <c r="AH45" s="3057"/>
      <c r="AI45" s="3057"/>
      <c r="AJ45" s="3057"/>
      <c r="AK45" s="3057"/>
      <c r="AL45" s="3057"/>
      <c r="AM45" s="3057"/>
      <c r="AN45" s="3057"/>
      <c r="AO45" s="3057"/>
      <c r="AP45" s="3057"/>
      <c r="AQ45" s="3057"/>
      <c r="AR45" s="3057"/>
      <c r="AS45" s="3057"/>
      <c r="AT45" s="3057"/>
      <c r="AU45" s="3057"/>
      <c r="AV45" s="3057"/>
      <c r="AW45" s="3057"/>
      <c r="AX45" s="3057"/>
      <c r="AY45" s="3057"/>
      <c r="AZ45" s="3057"/>
    </row>
    <row r="46" spans="1:83" ht="14.25">
      <c r="A46" s="237" t="s">
        <v>287</v>
      </c>
      <c r="B46" s="238">
        <v>0.02</v>
      </c>
      <c r="C46" s="3078" t="s">
        <v>2957</v>
      </c>
      <c r="D46" s="3061"/>
      <c r="E46" s="3060"/>
      <c r="F46" s="3060"/>
      <c r="G46" s="3060"/>
      <c r="H46" s="3060"/>
      <c r="I46" s="3060"/>
      <c r="J46" s="3060"/>
      <c r="K46" s="3059"/>
      <c r="L46" s="3059"/>
      <c r="M46" s="3057"/>
      <c r="N46" s="3057"/>
      <c r="O46" s="3057"/>
      <c r="P46" s="3057"/>
      <c r="Q46" s="3057"/>
      <c r="R46" s="3057"/>
      <c r="S46" s="3057"/>
      <c r="T46" s="3057"/>
      <c r="U46" s="3057"/>
      <c r="V46" s="3057"/>
      <c r="W46" s="3057"/>
      <c r="X46" s="3057"/>
      <c r="Y46" s="3057"/>
      <c r="Z46" s="3057"/>
      <c r="AA46" s="3057"/>
      <c r="AB46" s="3057"/>
      <c r="AC46" s="3057"/>
      <c r="AD46" s="3057"/>
      <c r="AE46" s="3057"/>
      <c r="AF46" s="3057"/>
      <c r="AG46" s="3057"/>
      <c r="AH46" s="3057"/>
      <c r="AI46" s="3057"/>
      <c r="AJ46" s="3057"/>
      <c r="AK46" s="3057"/>
      <c r="AL46" s="3057"/>
      <c r="AM46" s="3057"/>
      <c r="AN46" s="3057"/>
      <c r="AO46" s="3057"/>
      <c r="AP46" s="3057"/>
      <c r="AQ46" s="3057"/>
      <c r="AR46" s="3057"/>
      <c r="AS46" s="3057"/>
      <c r="AT46" s="3057"/>
      <c r="AU46" s="3057"/>
      <c r="AV46" s="3057"/>
      <c r="AW46" s="3057"/>
      <c r="AX46" s="3057"/>
      <c r="AY46" s="3057"/>
      <c r="AZ46" s="3057"/>
    </row>
    <row r="47" spans="1:83" ht="15" thickBot="1">
      <c r="A47" s="241" t="s">
        <v>288</v>
      </c>
      <c r="B47" s="242"/>
      <c r="C47" s="3073" t="s">
        <v>2964</v>
      </c>
      <c r="D47" s="3061"/>
      <c r="E47" s="3060"/>
      <c r="F47" s="3060"/>
      <c r="G47" s="3060"/>
      <c r="H47" s="3060"/>
      <c r="I47" s="3060"/>
      <c r="J47" s="3060"/>
      <c r="K47" s="3059"/>
      <c r="L47" s="3059"/>
      <c r="M47" s="3057"/>
      <c r="N47" s="3057"/>
      <c r="O47" s="3057"/>
      <c r="P47" s="3057"/>
      <c r="Q47" s="3057"/>
      <c r="R47" s="3057"/>
      <c r="S47" s="3057"/>
      <c r="T47" s="3057"/>
      <c r="U47" s="3057"/>
      <c r="V47" s="3057"/>
      <c r="W47" s="3057"/>
      <c r="X47" s="3057"/>
      <c r="Y47" s="3057"/>
      <c r="Z47" s="3057"/>
      <c r="AA47" s="3057"/>
      <c r="AB47" s="3057"/>
      <c r="AC47" s="3057"/>
      <c r="AD47" s="3057"/>
      <c r="AE47" s="3057"/>
      <c r="AF47" s="3057"/>
      <c r="AG47" s="3057"/>
      <c r="AH47" s="3057"/>
      <c r="AI47" s="3057"/>
      <c r="AJ47" s="3057"/>
      <c r="AK47" s="3057"/>
      <c r="AL47" s="3057"/>
      <c r="AM47" s="3057"/>
      <c r="AN47" s="3057"/>
      <c r="AO47" s="3057"/>
      <c r="AP47" s="3057"/>
      <c r="AQ47" s="3057"/>
      <c r="AR47" s="3057"/>
      <c r="AS47" s="3057"/>
      <c r="AT47" s="3057"/>
      <c r="AU47" s="3057"/>
      <c r="AV47" s="3057"/>
      <c r="AW47" s="3057"/>
      <c r="AX47" s="3057"/>
      <c r="AY47" s="3057"/>
      <c r="AZ47" s="3057"/>
    </row>
    <row r="48" spans="1:83" ht="14.25">
      <c r="A48" s="243" t="s">
        <v>289</v>
      </c>
      <c r="B48" s="244">
        <v>0.03</v>
      </c>
      <c r="C48" s="3078" t="s">
        <v>2956</v>
      </c>
      <c r="D48" s="3061"/>
      <c r="E48" s="3060"/>
      <c r="F48" s="3060"/>
      <c r="G48" s="3060"/>
      <c r="H48" s="3060"/>
      <c r="I48" s="3060"/>
      <c r="J48" s="3060"/>
      <c r="K48" s="3059"/>
      <c r="L48" s="3059"/>
      <c r="M48" s="3057"/>
      <c r="N48" s="3057"/>
      <c r="O48" s="3057"/>
      <c r="P48" s="3057"/>
      <c r="Q48" s="3057"/>
      <c r="R48" s="3057"/>
      <c r="S48" s="3057"/>
      <c r="T48" s="3057"/>
      <c r="U48" s="3057"/>
      <c r="V48" s="3057"/>
      <c r="W48" s="3057"/>
      <c r="X48" s="3057"/>
      <c r="Y48" s="3057"/>
      <c r="Z48" s="3057"/>
      <c r="AA48" s="3057"/>
      <c r="AB48" s="3057"/>
      <c r="AC48" s="3057"/>
      <c r="AD48" s="3057"/>
      <c r="AE48" s="3057"/>
      <c r="AF48" s="3057"/>
      <c r="AG48" s="3057"/>
      <c r="AH48" s="3057"/>
      <c r="AI48" s="3057"/>
      <c r="AJ48" s="3057"/>
      <c r="AK48" s="3057"/>
      <c r="AL48" s="3057"/>
      <c r="AM48" s="3057"/>
      <c r="AN48" s="3057"/>
      <c r="AO48" s="3057"/>
      <c r="AP48" s="3057"/>
      <c r="AQ48" s="3057"/>
      <c r="AR48" s="3057"/>
      <c r="AS48" s="3057"/>
      <c r="AT48" s="3057"/>
      <c r="AU48" s="3057"/>
      <c r="AV48" s="3057"/>
      <c r="AW48" s="3057"/>
      <c r="AX48" s="3057"/>
      <c r="AY48" s="3057"/>
      <c r="AZ48" s="3057"/>
    </row>
    <row r="49" spans="1:52" ht="15" thickBot="1">
      <c r="A49" s="235" t="s">
        <v>290</v>
      </c>
      <c r="B49" s="238">
        <v>5.0000000000000001E-4</v>
      </c>
      <c r="C49" s="3078" t="s">
        <v>2958</v>
      </c>
      <c r="D49" s="3061"/>
      <c r="E49" s="3060"/>
      <c r="F49" s="3060"/>
      <c r="G49" s="3060"/>
      <c r="H49" s="3060"/>
      <c r="I49" s="3060"/>
      <c r="J49" s="3060"/>
      <c r="K49" s="3059"/>
      <c r="L49" s="3059"/>
      <c r="M49" s="3057"/>
      <c r="N49" s="3057"/>
      <c r="O49" s="3057"/>
      <c r="P49" s="3057"/>
      <c r="Q49" s="3057"/>
      <c r="R49" s="3057"/>
      <c r="S49" s="3057"/>
      <c r="T49" s="3057"/>
      <c r="U49" s="3057"/>
      <c r="V49" s="3057"/>
      <c r="W49" s="3057"/>
      <c r="X49" s="3057"/>
      <c r="Y49" s="3057"/>
      <c r="Z49" s="3057"/>
      <c r="AA49" s="3057"/>
      <c r="AB49" s="3057"/>
      <c r="AC49" s="3057"/>
      <c r="AD49" s="3057"/>
      <c r="AE49" s="3057"/>
      <c r="AF49" s="3057"/>
      <c r="AG49" s="3057"/>
      <c r="AH49" s="3057"/>
      <c r="AI49" s="3057"/>
      <c r="AJ49" s="3057"/>
      <c r="AK49" s="3057"/>
      <c r="AL49" s="3057"/>
      <c r="AM49" s="3057"/>
      <c r="AN49" s="3057"/>
      <c r="AO49" s="3057"/>
      <c r="AP49" s="3057"/>
      <c r="AQ49" s="3057"/>
      <c r="AR49" s="3057"/>
      <c r="AS49" s="3057"/>
      <c r="AT49" s="3057"/>
      <c r="AU49" s="3057"/>
      <c r="AV49" s="3057"/>
      <c r="AW49" s="3057"/>
      <c r="AX49" s="3057"/>
      <c r="AY49" s="3057"/>
      <c r="AZ49" s="3057"/>
    </row>
    <row r="50" spans="1:52" ht="14.25">
      <c r="A50" s="245" t="s">
        <v>291</v>
      </c>
      <c r="B50" s="246">
        <v>1.2E-2</v>
      </c>
      <c r="C50" s="3066"/>
      <c r="D50" s="3061"/>
      <c r="E50" s="3060"/>
      <c r="F50" s="3060"/>
      <c r="G50" s="3060"/>
      <c r="H50" s="3060"/>
      <c r="I50" s="3060"/>
      <c r="J50" s="3060"/>
      <c r="K50" s="3059"/>
      <c r="L50" s="3059"/>
      <c r="M50" s="3057"/>
      <c r="N50" s="3057"/>
      <c r="O50" s="3057"/>
      <c r="P50" s="3057"/>
      <c r="Q50" s="3057"/>
      <c r="R50" s="3057"/>
      <c r="S50" s="3057"/>
      <c r="T50" s="3057"/>
      <c r="U50" s="3057"/>
      <c r="V50" s="3057"/>
      <c r="W50" s="3057"/>
      <c r="X50" s="3057"/>
      <c r="Y50" s="3057"/>
      <c r="Z50" s="3057"/>
      <c r="AA50" s="3057"/>
      <c r="AB50" s="3057"/>
      <c r="AC50" s="3057"/>
      <c r="AD50" s="3057"/>
      <c r="AE50" s="3057"/>
      <c r="AF50" s="3057"/>
      <c r="AG50" s="3057"/>
      <c r="AH50" s="3057"/>
      <c r="AI50" s="3057"/>
      <c r="AJ50" s="3057"/>
      <c r="AK50" s="3057"/>
      <c r="AL50" s="3057"/>
      <c r="AM50" s="3057"/>
      <c r="AN50" s="3057"/>
      <c r="AO50" s="3057"/>
      <c r="AP50" s="3057"/>
      <c r="AQ50" s="3057"/>
      <c r="AR50" s="3057"/>
      <c r="AS50" s="3057"/>
      <c r="AT50" s="3057"/>
      <c r="AU50" s="3057"/>
      <c r="AV50" s="3057"/>
      <c r="AW50" s="3057"/>
      <c r="AX50" s="3057"/>
      <c r="AY50" s="3057"/>
      <c r="AZ50" s="3057"/>
    </row>
    <row r="51" spans="1:52" ht="15" thickBot="1">
      <c r="A51" s="229" t="s">
        <v>292</v>
      </c>
      <c r="B51" s="247">
        <v>0.12</v>
      </c>
      <c r="C51" s="3066"/>
      <c r="D51" s="3061"/>
      <c r="E51" s="3060"/>
      <c r="F51" s="3060"/>
      <c r="G51" s="3060"/>
      <c r="H51" s="3060"/>
      <c r="I51" s="3060"/>
      <c r="J51" s="3060"/>
      <c r="K51" s="3059"/>
      <c r="L51" s="3059"/>
      <c r="M51" s="3057"/>
      <c r="N51" s="3057"/>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c r="AP51" s="3057"/>
      <c r="AQ51" s="3057"/>
      <c r="AR51" s="3057"/>
      <c r="AS51" s="3057"/>
      <c r="AT51" s="3057"/>
      <c r="AU51" s="3057"/>
      <c r="AV51" s="3057"/>
      <c r="AW51" s="3057"/>
      <c r="AX51" s="3057"/>
      <c r="AY51" s="3057"/>
      <c r="AZ51" s="3057"/>
    </row>
    <row r="52" spans="1:52" ht="14.25">
      <c r="A52" s="245" t="s">
        <v>293</v>
      </c>
      <c r="B52" s="248">
        <f>SUMIF(A54:A63,B53,B54:B63)</f>
        <v>6</v>
      </c>
      <c r="C52" s="3066"/>
      <c r="D52" s="3061"/>
      <c r="E52" s="3060"/>
      <c r="F52" s="3060"/>
      <c r="G52" s="3060"/>
      <c r="H52" s="3060"/>
      <c r="I52" s="3060"/>
      <c r="J52" s="3060"/>
      <c r="K52" s="3059"/>
      <c r="L52" s="3059"/>
      <c r="M52" s="3057"/>
      <c r="N52" s="3057"/>
      <c r="O52" s="3057"/>
      <c r="P52" s="3057"/>
      <c r="Q52" s="3057"/>
      <c r="R52" s="3057"/>
      <c r="S52" s="3057"/>
      <c r="T52" s="3057"/>
      <c r="U52" s="3057"/>
      <c r="V52" s="3057"/>
      <c r="W52" s="3057"/>
      <c r="X52" s="3057"/>
      <c r="Y52" s="3057"/>
      <c r="Z52" s="3057"/>
      <c r="AA52" s="3057"/>
      <c r="AB52" s="3057"/>
      <c r="AC52" s="3057"/>
      <c r="AD52" s="3057"/>
      <c r="AE52" s="3057"/>
      <c r="AF52" s="3057"/>
      <c r="AG52" s="3057"/>
      <c r="AH52" s="3057"/>
      <c r="AI52" s="3057"/>
      <c r="AJ52" s="3057"/>
      <c r="AK52" s="3057"/>
      <c r="AL52" s="3057"/>
      <c r="AM52" s="3057"/>
      <c r="AN52" s="3057"/>
      <c r="AO52" s="3057"/>
      <c r="AP52" s="3057"/>
      <c r="AQ52" s="3057"/>
      <c r="AR52" s="3057"/>
      <c r="AS52" s="3057"/>
      <c r="AT52" s="3057"/>
      <c r="AU52" s="3057"/>
      <c r="AV52" s="3057"/>
      <c r="AW52" s="3057"/>
      <c r="AX52" s="3057"/>
      <c r="AY52" s="3057"/>
      <c r="AZ52" s="3057"/>
    </row>
    <row r="53" spans="1:52" ht="27">
      <c r="A53" s="226" t="s">
        <v>294</v>
      </c>
      <c r="B53" s="249" t="s">
        <v>1076</v>
      </c>
      <c r="C53" s="3068" t="s">
        <v>2848</v>
      </c>
      <c r="D53" s="3079" t="s">
        <v>2961</v>
      </c>
      <c r="E53" s="3060"/>
      <c r="F53" s="3060"/>
      <c r="G53" s="3060"/>
      <c r="H53" s="3060"/>
      <c r="I53" s="3060"/>
      <c r="J53" s="3060"/>
      <c r="K53" s="3059"/>
      <c r="L53" s="3059"/>
      <c r="M53" s="3057"/>
      <c r="N53" s="3057"/>
      <c r="O53" s="3057"/>
      <c r="P53" s="3057"/>
      <c r="Q53" s="3057"/>
      <c r="R53" s="3057"/>
      <c r="S53" s="3057"/>
      <c r="T53" s="3057"/>
      <c r="U53" s="3057"/>
      <c r="V53" s="3057"/>
      <c r="W53" s="3057"/>
      <c r="X53" s="3057"/>
      <c r="Y53" s="3057"/>
      <c r="Z53" s="3057"/>
      <c r="AA53" s="3057"/>
      <c r="AB53" s="3057"/>
      <c r="AC53" s="3057"/>
      <c r="AD53" s="3057"/>
      <c r="AE53" s="3057"/>
      <c r="AF53" s="3057"/>
      <c r="AG53" s="3057"/>
      <c r="AH53" s="3057"/>
      <c r="AI53" s="3057"/>
      <c r="AJ53" s="3057"/>
      <c r="AK53" s="3057"/>
      <c r="AL53" s="3057"/>
      <c r="AM53" s="3057"/>
      <c r="AN53" s="3057"/>
      <c r="AO53" s="3057"/>
      <c r="AP53" s="3057"/>
      <c r="AQ53" s="3057"/>
      <c r="AR53" s="3057"/>
      <c r="AS53" s="3057"/>
      <c r="AT53" s="3057"/>
      <c r="AU53" s="3057"/>
      <c r="AV53" s="3057"/>
      <c r="AW53" s="3057"/>
      <c r="AX53" s="3057"/>
      <c r="AY53" s="3057"/>
      <c r="AZ53" s="3057"/>
    </row>
    <row r="54" spans="1:52" ht="14.25">
      <c r="A54" s="2742" t="s">
        <v>2849</v>
      </c>
      <c r="B54" s="184">
        <v>6</v>
      </c>
      <c r="C54" s="3065">
        <v>30</v>
      </c>
      <c r="D54" s="3069"/>
      <c r="E54" s="3060"/>
      <c r="F54" s="3060"/>
      <c r="G54" s="3060"/>
      <c r="H54" s="3060"/>
      <c r="I54" s="3060"/>
      <c r="J54" s="3060"/>
      <c r="K54" s="3059"/>
      <c r="L54" s="3059"/>
      <c r="M54" s="3057"/>
      <c r="N54" s="3057"/>
      <c r="O54" s="3057"/>
      <c r="P54" s="3057"/>
      <c r="Q54" s="3057"/>
      <c r="R54" s="3057"/>
      <c r="S54" s="3057"/>
      <c r="T54" s="3057"/>
      <c r="U54" s="3057"/>
      <c r="V54" s="3057"/>
      <c r="W54" s="3057"/>
      <c r="X54" s="3057"/>
      <c r="Y54" s="3057"/>
      <c r="Z54" s="3057"/>
      <c r="AA54" s="3057"/>
      <c r="AB54" s="3057"/>
      <c r="AC54" s="3057"/>
      <c r="AD54" s="3057"/>
      <c r="AE54" s="3057"/>
      <c r="AF54" s="3057"/>
      <c r="AG54" s="3057"/>
      <c r="AH54" s="3057"/>
      <c r="AI54" s="3057"/>
      <c r="AJ54" s="3057"/>
      <c r="AK54" s="3057"/>
      <c r="AL54" s="3057"/>
      <c r="AM54" s="3057"/>
      <c r="AN54" s="3057"/>
      <c r="AO54" s="3057"/>
      <c r="AP54" s="3057"/>
      <c r="AQ54" s="3057"/>
      <c r="AR54" s="3057"/>
      <c r="AS54" s="3057"/>
      <c r="AT54" s="3057"/>
      <c r="AU54" s="3057"/>
      <c r="AV54" s="3057"/>
      <c r="AW54" s="3057"/>
      <c r="AX54" s="3057"/>
      <c r="AY54" s="3057"/>
      <c r="AZ54" s="3057"/>
    </row>
    <row r="55" spans="1:52" ht="14.25">
      <c r="A55" s="2742" t="s">
        <v>2850</v>
      </c>
      <c r="B55" s="184"/>
      <c r="C55" s="3065">
        <v>24</v>
      </c>
      <c r="D55" s="3069"/>
      <c r="E55" s="3060"/>
      <c r="F55" s="3060"/>
      <c r="G55" s="3060"/>
      <c r="H55" s="3060"/>
      <c r="I55" s="3070"/>
      <c r="J55" s="3060"/>
      <c r="K55" s="3059"/>
      <c r="L55" s="3059"/>
      <c r="M55" s="3057"/>
      <c r="N55" s="3057"/>
      <c r="O55" s="3057"/>
      <c r="P55" s="3057"/>
      <c r="Q55" s="3057"/>
      <c r="R55" s="3057"/>
      <c r="S55" s="3057"/>
      <c r="T55" s="3057"/>
      <c r="U55" s="3057"/>
      <c r="V55" s="3057"/>
      <c r="W55" s="3057"/>
      <c r="X55" s="3057"/>
      <c r="Y55" s="3057"/>
      <c r="Z55" s="3057"/>
      <c r="AA55" s="3057"/>
      <c r="AB55" s="3057"/>
      <c r="AC55" s="3057"/>
      <c r="AD55" s="3057"/>
      <c r="AE55" s="3057"/>
      <c r="AF55" s="3057"/>
      <c r="AG55" s="3057"/>
      <c r="AH55" s="3057"/>
      <c r="AI55" s="3057"/>
      <c r="AJ55" s="3057"/>
      <c r="AK55" s="3057"/>
      <c r="AL55" s="3057"/>
      <c r="AM55" s="3057"/>
      <c r="AN55" s="3057"/>
      <c r="AO55" s="3057"/>
      <c r="AP55" s="3057"/>
      <c r="AQ55" s="3057"/>
      <c r="AR55" s="3057"/>
      <c r="AS55" s="3057"/>
      <c r="AT55" s="3057"/>
      <c r="AU55" s="3057"/>
      <c r="AV55" s="3057"/>
      <c r="AW55" s="3057"/>
      <c r="AX55" s="3057"/>
      <c r="AY55" s="3057"/>
      <c r="AZ55" s="3057"/>
    </row>
    <row r="56" spans="1:52" ht="14.25">
      <c r="A56" s="2742" t="s">
        <v>2851</v>
      </c>
      <c r="B56" s="184"/>
      <c r="C56" s="3065">
        <v>18</v>
      </c>
      <c r="D56" s="3069"/>
      <c r="E56" s="3060"/>
      <c r="F56" s="3060"/>
      <c r="G56" s="3060"/>
      <c r="H56" s="3060"/>
      <c r="I56" s="3060"/>
      <c r="J56" s="3060"/>
      <c r="K56" s="3059"/>
      <c r="L56" s="3059"/>
      <c r="M56" s="3057"/>
      <c r="N56" s="3057"/>
      <c r="O56" s="3057"/>
      <c r="P56" s="3057"/>
      <c r="Q56" s="3057"/>
      <c r="R56" s="3057"/>
      <c r="S56" s="3057"/>
      <c r="T56" s="3057"/>
      <c r="U56" s="3057"/>
      <c r="V56" s="3057"/>
      <c r="W56" s="3057"/>
      <c r="X56" s="3057"/>
      <c r="Y56" s="3057"/>
      <c r="Z56" s="3057"/>
      <c r="AA56" s="3057"/>
      <c r="AB56" s="3057"/>
      <c r="AC56" s="3057"/>
      <c r="AD56" s="3057"/>
      <c r="AE56" s="3057"/>
      <c r="AF56" s="3057"/>
      <c r="AG56" s="3057"/>
      <c r="AH56" s="3057"/>
      <c r="AI56" s="3057"/>
      <c r="AJ56" s="3057"/>
      <c r="AK56" s="3057"/>
      <c r="AL56" s="3057"/>
      <c r="AM56" s="3057"/>
      <c r="AN56" s="3057"/>
      <c r="AO56" s="3057"/>
      <c r="AP56" s="3057"/>
      <c r="AQ56" s="3057"/>
      <c r="AR56" s="3057"/>
      <c r="AS56" s="3057"/>
      <c r="AT56" s="3057"/>
      <c r="AU56" s="3057"/>
      <c r="AV56" s="3057"/>
      <c r="AW56" s="3057"/>
      <c r="AX56" s="3057"/>
      <c r="AY56" s="3057"/>
      <c r="AZ56" s="3057"/>
    </row>
    <row r="57" spans="1:52" ht="14.25">
      <c r="A57" s="2742" t="s">
        <v>2852</v>
      </c>
      <c r="B57" s="184"/>
      <c r="C57" s="3065">
        <v>12</v>
      </c>
      <c r="D57" s="3069"/>
      <c r="E57" s="3060"/>
      <c r="F57" s="3060"/>
      <c r="G57" s="3060"/>
      <c r="H57" s="3060"/>
      <c r="I57" s="3060"/>
      <c r="J57" s="3060"/>
      <c r="K57" s="3059"/>
      <c r="L57" s="3059"/>
      <c r="M57" s="3057"/>
      <c r="N57" s="3057"/>
      <c r="O57" s="3057"/>
      <c r="P57" s="3057"/>
      <c r="Q57" s="3057"/>
      <c r="R57" s="3057"/>
      <c r="S57" s="3057"/>
      <c r="T57" s="3057"/>
      <c r="U57" s="3057"/>
      <c r="V57" s="3057"/>
      <c r="W57" s="3057"/>
      <c r="X57" s="3057"/>
      <c r="Y57" s="3057"/>
      <c r="Z57" s="3057"/>
      <c r="AA57" s="3057"/>
      <c r="AB57" s="3057"/>
      <c r="AC57" s="3057"/>
      <c r="AD57" s="3057"/>
      <c r="AE57" s="3057"/>
      <c r="AF57" s="3057"/>
      <c r="AG57" s="3057"/>
      <c r="AH57" s="3057"/>
      <c r="AI57" s="3057"/>
      <c r="AJ57" s="3057"/>
      <c r="AK57" s="3057"/>
      <c r="AL57" s="3057"/>
      <c r="AM57" s="3057"/>
      <c r="AN57" s="3057"/>
      <c r="AO57" s="3057"/>
      <c r="AP57" s="3057"/>
      <c r="AQ57" s="3057"/>
      <c r="AR57" s="3057"/>
      <c r="AS57" s="3057"/>
      <c r="AT57" s="3057"/>
      <c r="AU57" s="3057"/>
      <c r="AV57" s="3057"/>
      <c r="AW57" s="3057"/>
      <c r="AX57" s="3057"/>
      <c r="AY57" s="3057"/>
      <c r="AZ57" s="3057"/>
    </row>
    <row r="58" spans="1:52" ht="14.25">
      <c r="A58" s="2742" t="s">
        <v>2853</v>
      </c>
      <c r="B58" s="184"/>
      <c r="C58" s="3065">
        <v>3</v>
      </c>
      <c r="D58" s="3069"/>
      <c r="E58" s="3060"/>
      <c r="F58" s="3060"/>
      <c r="G58" s="3060"/>
      <c r="H58" s="3060"/>
      <c r="I58" s="3060"/>
      <c r="J58" s="3060"/>
      <c r="K58" s="3059"/>
      <c r="L58" s="3059"/>
      <c r="M58" s="3057"/>
      <c r="N58" s="3057"/>
      <c r="O58" s="3057"/>
      <c r="P58" s="3057"/>
      <c r="Q58" s="3057"/>
      <c r="R58" s="3057"/>
      <c r="S58" s="3057"/>
      <c r="T58" s="3057"/>
      <c r="U58" s="3057"/>
      <c r="V58" s="3057"/>
      <c r="W58" s="3057"/>
      <c r="X58" s="3057"/>
      <c r="Y58" s="3057"/>
      <c r="Z58" s="3057"/>
      <c r="AA58" s="3057"/>
      <c r="AB58" s="3057"/>
      <c r="AC58" s="3057"/>
      <c r="AD58" s="3057"/>
      <c r="AE58" s="3057"/>
      <c r="AF58" s="3057"/>
      <c r="AG58" s="3057"/>
      <c r="AH58" s="3057"/>
      <c r="AI58" s="3057"/>
      <c r="AJ58" s="3057"/>
      <c r="AK58" s="3057"/>
      <c r="AL58" s="3057"/>
      <c r="AM58" s="3057"/>
      <c r="AN58" s="3057"/>
      <c r="AO58" s="3057"/>
      <c r="AP58" s="3057"/>
      <c r="AQ58" s="3057"/>
      <c r="AR58" s="3057"/>
      <c r="AS58" s="3057"/>
      <c r="AT58" s="3057"/>
      <c r="AU58" s="3057"/>
      <c r="AV58" s="3057"/>
      <c r="AW58" s="3057"/>
      <c r="AX58" s="3057"/>
      <c r="AY58" s="3057"/>
      <c r="AZ58" s="3057"/>
    </row>
    <row r="59" spans="1:52" ht="14.25">
      <c r="A59" s="2742" t="s">
        <v>2854</v>
      </c>
      <c r="B59" s="184"/>
      <c r="C59" s="3065">
        <v>1.5</v>
      </c>
      <c r="D59" s="3069"/>
      <c r="E59" s="3060"/>
      <c r="F59" s="3060"/>
      <c r="G59" s="3060"/>
      <c r="H59" s="3060"/>
      <c r="I59" s="3060"/>
      <c r="J59" s="3060"/>
      <c r="K59" s="3059"/>
      <c r="L59" s="3059"/>
      <c r="M59" s="3057"/>
      <c r="N59" s="3057"/>
      <c r="O59" s="3057"/>
      <c r="P59" s="3057"/>
      <c r="Q59" s="3057"/>
      <c r="R59" s="3057"/>
      <c r="S59" s="3057"/>
      <c r="T59" s="3057"/>
      <c r="U59" s="3057"/>
      <c r="V59" s="3057"/>
      <c r="W59" s="3057"/>
      <c r="X59" s="3057"/>
      <c r="Y59" s="3057"/>
      <c r="Z59" s="3057"/>
      <c r="AA59" s="3057"/>
      <c r="AB59" s="3057"/>
      <c r="AC59" s="3057"/>
      <c r="AD59" s="3057"/>
      <c r="AE59" s="3057"/>
      <c r="AF59" s="3057"/>
      <c r="AG59" s="3057"/>
      <c r="AH59" s="3057"/>
      <c r="AI59" s="3057"/>
      <c r="AJ59" s="3057"/>
      <c r="AK59" s="3057"/>
      <c r="AL59" s="3057"/>
      <c r="AM59" s="3057"/>
      <c r="AN59" s="3057"/>
      <c r="AO59" s="3057"/>
      <c r="AP59" s="3057"/>
      <c r="AQ59" s="3057"/>
      <c r="AR59" s="3057"/>
      <c r="AS59" s="3057"/>
      <c r="AT59" s="3057"/>
      <c r="AU59" s="3057"/>
      <c r="AV59" s="3057"/>
      <c r="AW59" s="3057"/>
      <c r="AX59" s="3057"/>
      <c r="AY59" s="3057"/>
      <c r="AZ59" s="3057"/>
    </row>
    <row r="60" spans="1:52" ht="14.25">
      <c r="A60" s="2742" t="s">
        <v>2855</v>
      </c>
      <c r="B60" s="184"/>
      <c r="C60" s="3060"/>
      <c r="D60" s="3061"/>
      <c r="E60" s="3060"/>
      <c r="F60" s="3060"/>
      <c r="G60" s="3060"/>
      <c r="H60" s="3060"/>
      <c r="I60" s="3060"/>
      <c r="J60" s="3060"/>
      <c r="K60" s="3059"/>
      <c r="L60" s="3059"/>
      <c r="M60" s="3057"/>
      <c r="N60" s="3057"/>
      <c r="O60" s="3057"/>
      <c r="P60" s="3057"/>
      <c r="Q60" s="3057"/>
      <c r="R60" s="3057"/>
      <c r="S60" s="3057"/>
      <c r="T60" s="3057"/>
      <c r="U60" s="3057"/>
      <c r="V60" s="3057"/>
      <c r="W60" s="3057"/>
      <c r="X60" s="3057"/>
      <c r="Y60" s="3057"/>
      <c r="Z60" s="3057"/>
      <c r="AA60" s="3057"/>
      <c r="AB60" s="3057"/>
      <c r="AC60" s="3057"/>
      <c r="AD60" s="3057"/>
      <c r="AE60" s="3057"/>
      <c r="AF60" s="3057"/>
      <c r="AG60" s="3057"/>
      <c r="AH60" s="3057"/>
      <c r="AI60" s="3057"/>
      <c r="AJ60" s="3057"/>
      <c r="AK60" s="3057"/>
      <c r="AL60" s="3057"/>
      <c r="AM60" s="3057"/>
      <c r="AN60" s="3057"/>
      <c r="AO60" s="3057"/>
      <c r="AP60" s="3057"/>
      <c r="AQ60" s="3057"/>
      <c r="AR60" s="3057"/>
      <c r="AS60" s="3057"/>
      <c r="AT60" s="3057"/>
      <c r="AU60" s="3057"/>
      <c r="AV60" s="3057"/>
      <c r="AW60" s="3057"/>
      <c r="AX60" s="3057"/>
      <c r="AY60" s="3057"/>
      <c r="AZ60" s="3057"/>
    </row>
    <row r="61" spans="1:52" ht="14.25">
      <c r="A61" s="2742" t="s">
        <v>2856</v>
      </c>
      <c r="B61" s="184"/>
      <c r="C61" s="3060"/>
      <c r="D61" s="3061"/>
      <c r="E61" s="3060"/>
      <c r="F61" s="3060"/>
      <c r="G61" s="3060"/>
      <c r="H61" s="3060"/>
      <c r="I61" s="3060"/>
      <c r="J61" s="3060"/>
      <c r="K61" s="3059"/>
      <c r="L61" s="3059"/>
      <c r="M61" s="3057"/>
      <c r="N61" s="3057"/>
      <c r="O61" s="3057"/>
      <c r="P61" s="3057"/>
      <c r="Q61" s="3057"/>
      <c r="R61" s="3057"/>
      <c r="S61" s="3057"/>
      <c r="T61" s="3057"/>
      <c r="U61" s="3057"/>
      <c r="V61" s="3057"/>
      <c r="W61" s="3057"/>
      <c r="X61" s="3057"/>
      <c r="Y61" s="3057"/>
      <c r="Z61" s="3057"/>
      <c r="AA61" s="3057"/>
      <c r="AB61" s="3057"/>
      <c r="AC61" s="3057"/>
      <c r="AD61" s="3057"/>
      <c r="AE61" s="3057"/>
      <c r="AF61" s="3057"/>
      <c r="AG61" s="3057"/>
      <c r="AH61" s="3057"/>
      <c r="AI61" s="3057"/>
      <c r="AJ61" s="3057"/>
      <c r="AK61" s="3057"/>
      <c r="AL61" s="3057"/>
      <c r="AM61" s="3057"/>
      <c r="AN61" s="3057"/>
      <c r="AO61" s="3057"/>
      <c r="AP61" s="3057"/>
      <c r="AQ61" s="3057"/>
      <c r="AR61" s="3057"/>
      <c r="AS61" s="3057"/>
      <c r="AT61" s="3057"/>
      <c r="AU61" s="3057"/>
      <c r="AV61" s="3057"/>
      <c r="AW61" s="3057"/>
      <c r="AX61" s="3057"/>
      <c r="AY61" s="3057"/>
      <c r="AZ61" s="3057"/>
    </row>
    <row r="62" spans="1:52" ht="14.25">
      <c r="A62" s="2742" t="s">
        <v>2857</v>
      </c>
      <c r="B62" s="184"/>
      <c r="C62" s="3060"/>
      <c r="D62" s="3061"/>
      <c r="E62" s="3060"/>
      <c r="F62" s="3060"/>
      <c r="G62" s="3060"/>
      <c r="H62" s="3060"/>
      <c r="I62" s="3060"/>
      <c r="J62" s="3060"/>
      <c r="K62" s="3059"/>
      <c r="L62" s="3059"/>
      <c r="M62" s="3057"/>
      <c r="N62" s="3057"/>
      <c r="O62" s="3057"/>
      <c r="P62" s="3057"/>
      <c r="Q62" s="3057"/>
      <c r="R62" s="3057"/>
      <c r="S62" s="3057"/>
      <c r="T62" s="3057"/>
      <c r="U62" s="3057"/>
      <c r="V62" s="3057"/>
      <c r="W62" s="3057"/>
      <c r="X62" s="3057"/>
      <c r="Y62" s="3057"/>
      <c r="Z62" s="3057"/>
      <c r="AA62" s="3057"/>
      <c r="AB62" s="3057"/>
      <c r="AC62" s="3057"/>
      <c r="AD62" s="3057"/>
      <c r="AE62" s="3057"/>
      <c r="AF62" s="3057"/>
      <c r="AG62" s="3057"/>
      <c r="AH62" s="3057"/>
      <c r="AI62" s="3057"/>
      <c r="AJ62" s="3057"/>
      <c r="AK62" s="3057"/>
      <c r="AL62" s="3057"/>
      <c r="AM62" s="3057"/>
      <c r="AN62" s="3057"/>
      <c r="AO62" s="3057"/>
      <c r="AP62" s="3057"/>
      <c r="AQ62" s="3057"/>
      <c r="AR62" s="3057"/>
      <c r="AS62" s="3057"/>
      <c r="AT62" s="3057"/>
      <c r="AU62" s="3057"/>
      <c r="AV62" s="3057"/>
      <c r="AW62" s="3057"/>
      <c r="AX62" s="3057"/>
      <c r="AY62" s="3057"/>
      <c r="AZ62" s="3057"/>
    </row>
    <row r="63" spans="1:52" ht="15" thickBot="1">
      <c r="A63" s="2743" t="s">
        <v>2858</v>
      </c>
      <c r="B63" s="250"/>
      <c r="C63" s="3060"/>
      <c r="D63" s="3061"/>
      <c r="E63" s="3060"/>
      <c r="F63" s="3060"/>
      <c r="G63" s="3060"/>
      <c r="H63" s="3060"/>
      <c r="I63" s="3060"/>
      <c r="J63" s="3060"/>
      <c r="K63" s="3059"/>
      <c r="L63" s="3059"/>
      <c r="M63" s="3057"/>
      <c r="N63" s="3057"/>
      <c r="O63" s="3057"/>
      <c r="P63" s="3057"/>
      <c r="Q63" s="3057"/>
      <c r="R63" s="3057"/>
      <c r="S63" s="3057"/>
      <c r="T63" s="3057"/>
      <c r="U63" s="3057"/>
      <c r="V63" s="3057"/>
      <c r="W63" s="3057"/>
      <c r="X63" s="3057"/>
      <c r="Y63" s="3057"/>
      <c r="Z63" s="3057"/>
      <c r="AA63" s="3057"/>
      <c r="AB63" s="3057"/>
      <c r="AC63" s="3057"/>
      <c r="AD63" s="3057"/>
      <c r="AE63" s="3057"/>
      <c r="AF63" s="3057"/>
      <c r="AG63" s="3057"/>
      <c r="AH63" s="3057"/>
      <c r="AI63" s="3057"/>
      <c r="AJ63" s="3057"/>
      <c r="AK63" s="3057"/>
      <c r="AL63" s="3057"/>
      <c r="AM63" s="3057"/>
      <c r="AN63" s="3057"/>
      <c r="AO63" s="3057"/>
      <c r="AP63" s="3057"/>
      <c r="AQ63" s="3057"/>
      <c r="AR63" s="3057"/>
      <c r="AS63" s="3057"/>
      <c r="AT63" s="3057"/>
      <c r="AU63" s="3057"/>
      <c r="AV63" s="3057"/>
      <c r="AW63" s="3057"/>
      <c r="AX63" s="3057"/>
      <c r="AY63" s="3057"/>
      <c r="AZ63" s="3057"/>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mergeCells count="6">
    <mergeCell ref="P20:Q20"/>
    <mergeCell ref="K18:K19"/>
    <mergeCell ref="L18:L19"/>
    <mergeCell ref="M18:O18"/>
    <mergeCell ref="P18:Q18"/>
    <mergeCell ref="P19:Q19"/>
  </mergeCells>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K16" sqref="K16"/>
      <selection pane="topRight" activeCell="K16" sqref="K16"/>
      <selection pane="bottomLeft" activeCell="K16" sqref="K16"/>
      <selection pane="bottomRight" activeCell="K16" sqref="K16"/>
    </sheetView>
  </sheetViews>
  <sheetFormatPr defaultColWidth="9" defaultRowHeight="13.5"/>
  <cols>
    <col min="1" max="1" width="9.5" style="3091" customWidth="1"/>
    <col min="2" max="2" width="23.5" style="3126" customWidth="1"/>
    <col min="3" max="3" width="32.25" style="3128" customWidth="1"/>
    <col min="4" max="4" width="2.625" style="3128" customWidth="1"/>
    <col min="5" max="5" width="5.875" style="3128" customWidth="1"/>
    <col min="6" max="6" width="23.625" style="3126" customWidth="1"/>
    <col min="7" max="7" width="33.375" style="3127" customWidth="1"/>
    <col min="8" max="8" width="11.875" style="3126" customWidth="1"/>
    <col min="9" max="9" width="16.75" style="3127" customWidth="1"/>
    <col min="10" max="10" width="2.625" style="3128" customWidth="1"/>
    <col min="11" max="11" width="11.875" style="3126" customWidth="1"/>
    <col min="12" max="12" width="16.75" style="3127" customWidth="1"/>
    <col min="13" max="13" width="2.625" style="3128" customWidth="1"/>
    <col min="14" max="14" width="11.875" style="3126" customWidth="1"/>
    <col min="15" max="15" width="16.75" style="3127" customWidth="1"/>
    <col min="16" max="16" width="2.625" style="3128" customWidth="1"/>
    <col min="17" max="17" width="11.875" style="3126" customWidth="1"/>
    <col min="18" max="18" width="16.75" style="3129" customWidth="1"/>
    <col min="19" max="16384" width="9" style="3091"/>
  </cols>
  <sheetData>
    <row r="1" spans="1:18" s="3085" customFormat="1" ht="19.5" thickBot="1">
      <c r="A1" s="3400" t="s">
        <v>1643</v>
      </c>
      <c r="B1" s="3401"/>
      <c r="C1" s="3401"/>
      <c r="D1" s="3401"/>
      <c r="E1" s="3401"/>
      <c r="F1" s="3401"/>
      <c r="G1" s="3401"/>
      <c r="H1" s="3080"/>
      <c r="I1" s="3081"/>
      <c r="J1" s="3082"/>
      <c r="K1" s="3080"/>
      <c r="L1" s="3081"/>
      <c r="M1" s="3082"/>
      <c r="N1" s="3080"/>
      <c r="O1" s="3081"/>
      <c r="P1" s="3082"/>
      <c r="Q1" s="3083"/>
      <c r="R1" s="3084"/>
    </row>
    <row r="2" spans="1:18" ht="14.25" thickBot="1">
      <c r="A2" s="3086"/>
      <c r="B2" s="3087"/>
      <c r="C2" s="3088" t="s">
        <v>1644</v>
      </c>
      <c r="D2" s="3089"/>
      <c r="E2" s="3086"/>
      <c r="F2" s="3090"/>
      <c r="G2" s="3088" t="s">
        <v>1645</v>
      </c>
      <c r="H2" s="3091"/>
      <c r="I2" s="3091"/>
      <c r="J2" s="3091"/>
      <c r="K2" s="3091"/>
      <c r="L2" s="3091"/>
      <c r="M2" s="3091"/>
      <c r="N2" s="3091"/>
      <c r="O2" s="3091"/>
      <c r="P2" s="3091"/>
      <c r="Q2" s="3091"/>
      <c r="R2" s="3091"/>
    </row>
    <row r="3" spans="1:18" ht="40.5">
      <c r="A3" s="3092" t="s">
        <v>1646</v>
      </c>
      <c r="B3" s="3093" t="s">
        <v>1633</v>
      </c>
      <c r="C3" s="3094" t="s">
        <v>2865</v>
      </c>
      <c r="D3" s="3095"/>
      <c r="E3" s="3096" t="s">
        <v>1646</v>
      </c>
      <c r="F3" s="3097" t="s">
        <v>1634</v>
      </c>
      <c r="G3" s="3098" t="s">
        <v>2864</v>
      </c>
      <c r="H3" s="3091"/>
      <c r="I3" s="3091"/>
      <c r="J3" s="3091"/>
      <c r="K3" s="3091"/>
      <c r="L3" s="3091"/>
      <c r="M3" s="3091"/>
      <c r="N3" s="3091"/>
      <c r="O3" s="3091"/>
      <c r="P3" s="3091"/>
      <c r="Q3" s="3091"/>
      <c r="R3" s="3091"/>
    </row>
    <row r="4" spans="1:18" ht="40.5">
      <c r="A4" s="3096"/>
      <c r="B4" s="3099" t="s">
        <v>1647</v>
      </c>
      <c r="C4" s="3100" t="s">
        <v>2866</v>
      </c>
      <c r="D4" s="3095"/>
      <c r="E4" s="3101"/>
      <c r="F4" s="3102" t="s">
        <v>1648</v>
      </c>
      <c r="G4" s="3103" t="s">
        <v>2861</v>
      </c>
      <c r="H4" s="3091"/>
      <c r="I4" s="3091"/>
      <c r="J4" s="3091"/>
      <c r="K4" s="3091"/>
      <c r="L4" s="3091"/>
      <c r="M4" s="3091"/>
      <c r="N4" s="3091"/>
      <c r="O4" s="3091"/>
      <c r="P4" s="3091"/>
      <c r="Q4" s="3091"/>
      <c r="R4" s="3091"/>
    </row>
    <row r="5" spans="1:18" ht="41.25">
      <c r="A5" s="3096"/>
      <c r="B5" s="3099" t="s">
        <v>1649</v>
      </c>
      <c r="C5" s="3100" t="s">
        <v>2867</v>
      </c>
      <c r="D5" s="3095"/>
      <c r="E5" s="3101"/>
      <c r="F5" s="3099" t="s">
        <v>2507</v>
      </c>
      <c r="G5" s="3103" t="s">
        <v>2862</v>
      </c>
      <c r="H5" s="3091"/>
      <c r="I5" s="3091"/>
      <c r="J5" s="3091"/>
      <c r="K5" s="3091"/>
      <c r="L5" s="3091"/>
      <c r="M5" s="3091"/>
      <c r="N5" s="3091"/>
      <c r="O5" s="3091"/>
      <c r="P5" s="3091"/>
      <c r="Q5" s="3091"/>
      <c r="R5" s="3091"/>
    </row>
    <row r="6" spans="1:18" ht="40.5">
      <c r="A6" s="3096"/>
      <c r="B6" s="3099" t="s">
        <v>1635</v>
      </c>
      <c r="C6" s="3103" t="s">
        <v>2861</v>
      </c>
      <c r="D6" s="3095"/>
      <c r="E6" s="3101"/>
      <c r="F6" s="3099" t="s">
        <v>2508</v>
      </c>
      <c r="G6" s="3103" t="s">
        <v>2859</v>
      </c>
      <c r="H6" s="3091"/>
      <c r="I6" s="3091"/>
      <c r="J6" s="3091"/>
      <c r="K6" s="3091"/>
      <c r="L6" s="3091"/>
      <c r="M6" s="3091"/>
      <c r="N6" s="3091"/>
      <c r="O6" s="3091"/>
      <c r="P6" s="3091"/>
      <c r="Q6" s="3091"/>
      <c r="R6" s="3091"/>
    </row>
    <row r="7" spans="1:18" ht="27.75" thickBot="1">
      <c r="A7" s="3096"/>
      <c r="B7" s="3099" t="s">
        <v>2507</v>
      </c>
      <c r="C7" s="3103" t="s">
        <v>2862</v>
      </c>
      <c r="D7" s="3104"/>
      <c r="E7" s="3105"/>
      <c r="F7" s="3106" t="s">
        <v>1650</v>
      </c>
      <c r="G7" s="3107" t="s">
        <v>2863</v>
      </c>
      <c r="H7" s="3091"/>
      <c r="I7" s="3091"/>
      <c r="J7" s="3091"/>
      <c r="K7" s="3091"/>
      <c r="L7" s="3091"/>
      <c r="M7" s="3091"/>
      <c r="N7" s="3091"/>
      <c r="O7" s="3091"/>
      <c r="P7" s="3091"/>
      <c r="Q7" s="3091"/>
      <c r="R7" s="3091"/>
    </row>
    <row r="8" spans="1:18">
      <c r="A8" s="3096"/>
      <c r="B8" s="3099" t="s">
        <v>2508</v>
      </c>
      <c r="C8" s="3103" t="s">
        <v>2859</v>
      </c>
      <c r="D8" s="3104"/>
      <c r="E8" s="3104"/>
      <c r="F8" s="3108"/>
      <c r="G8" s="3108"/>
      <c r="H8" s="3091"/>
      <c r="I8" s="3091"/>
      <c r="J8" s="3091"/>
      <c r="K8" s="3091"/>
      <c r="L8" s="3091"/>
      <c r="M8" s="3091"/>
      <c r="N8" s="3091"/>
      <c r="O8" s="3091"/>
      <c r="P8" s="3091"/>
      <c r="Q8" s="3091"/>
      <c r="R8" s="3091"/>
    </row>
    <row r="9" spans="1:18" ht="27">
      <c r="A9" s="3096"/>
      <c r="B9" s="3099" t="s">
        <v>1636</v>
      </c>
      <c r="C9" s="3100" t="s">
        <v>2860</v>
      </c>
      <c r="D9" s="3095"/>
      <c r="E9" s="3104"/>
      <c r="F9" s="3108"/>
      <c r="G9" s="3108"/>
      <c r="H9" s="3091"/>
      <c r="I9" s="3091"/>
      <c r="J9" s="3091"/>
      <c r="K9" s="3091"/>
      <c r="L9" s="3091"/>
      <c r="M9" s="3091"/>
      <c r="N9" s="3091"/>
      <c r="O9" s="3091"/>
      <c r="P9" s="3091"/>
      <c r="Q9" s="3091"/>
      <c r="R9" s="3091"/>
    </row>
    <row r="10" spans="1:18" s="3115" customFormat="1" ht="15" thickBot="1">
      <c r="A10" s="3109"/>
      <c r="B10" s="3110" t="s">
        <v>1651</v>
      </c>
      <c r="C10" s="3111"/>
      <c r="D10" s="3095"/>
      <c r="E10" s="3095"/>
      <c r="F10" s="3108"/>
      <c r="G10" s="3108"/>
      <c r="H10" s="3112"/>
      <c r="I10" s="3113"/>
      <c r="J10" s="3114"/>
      <c r="K10" s="3112"/>
      <c r="L10" s="3113"/>
      <c r="M10" s="3114"/>
      <c r="N10" s="3112"/>
      <c r="O10" s="3113"/>
      <c r="P10" s="3114"/>
      <c r="Q10" s="3112"/>
      <c r="R10" s="3113"/>
    </row>
    <row r="11" spans="1:18" s="3115" customFormat="1">
      <c r="A11" s="3116"/>
      <c r="B11" s="3104"/>
      <c r="C11" s="3095"/>
      <c r="D11" s="3095"/>
      <c r="E11" s="3095"/>
      <c r="F11" s="3104"/>
      <c r="G11" s="3117"/>
      <c r="H11" s="3112"/>
      <c r="I11" s="3113"/>
      <c r="J11" s="3114"/>
      <c r="K11" s="3112"/>
      <c r="L11" s="3113"/>
      <c r="M11" s="3114"/>
      <c r="N11" s="3112"/>
      <c r="O11" s="3113"/>
      <c r="P11" s="3114"/>
      <c r="Q11" s="3112"/>
      <c r="R11" s="3113"/>
    </row>
    <row r="12" spans="1:18" s="3085" customFormat="1" ht="18.75">
      <c r="A12" s="3116"/>
      <c r="B12" s="3104"/>
      <c r="C12" s="3095"/>
      <c r="D12" s="3118"/>
      <c r="E12" s="3095"/>
      <c r="F12" s="3104"/>
      <c r="G12" s="3117"/>
      <c r="H12" s="3119"/>
      <c r="I12" s="3120"/>
      <c r="J12" s="3119"/>
      <c r="K12" s="3119"/>
      <c r="L12" s="3121"/>
      <c r="M12" s="3119"/>
      <c r="N12" s="3122"/>
      <c r="O12" s="3123"/>
      <c r="P12" s="3124"/>
      <c r="Q12" s="3122"/>
      <c r="R12" s="3084"/>
    </row>
    <row r="13" spans="1:18" ht="19.5" thickBot="1">
      <c r="A13" s="3125" t="s">
        <v>1652</v>
      </c>
      <c r="B13" s="3118"/>
      <c r="C13" s="3118"/>
      <c r="D13" s="3089"/>
      <c r="E13" s="3118"/>
      <c r="F13" s="3118"/>
      <c r="G13" s="3118"/>
    </row>
    <row r="14" spans="1:18" ht="14.25" thickBot="1">
      <c r="A14" s="3130"/>
      <c r="B14" s="3130"/>
      <c r="C14" s="3131" t="s">
        <v>1644</v>
      </c>
      <c r="D14" s="3095"/>
      <c r="E14" s="3132"/>
      <c r="F14" s="3132"/>
      <c r="G14" s="3088" t="s">
        <v>1645</v>
      </c>
    </row>
    <row r="15" spans="1:18" ht="40.5">
      <c r="A15" s="3133" t="s">
        <v>1637</v>
      </c>
      <c r="B15" s="3134" t="s">
        <v>1633</v>
      </c>
      <c r="C15" s="3135" t="str">
        <f>C3</f>
        <v>估价对象周边居住用地比例、居住小区规模和社区发展完善程度，综合评价居住社区成熟度一般</v>
      </c>
      <c r="D15" s="3095"/>
      <c r="E15" s="3136" t="s">
        <v>1638</v>
      </c>
      <c r="F15" s="3134" t="s">
        <v>1653</v>
      </c>
      <c r="G15" s="3137" t="str">
        <f>G3</f>
        <v>估价对象位于XX开发区，园区建设成熟度XX，产业集聚程度XX</v>
      </c>
    </row>
    <row r="16" spans="1:18" ht="40.5">
      <c r="A16" s="3138"/>
      <c r="B16" s="3139" t="s">
        <v>1647</v>
      </c>
      <c r="C16" s="3140" t="str">
        <f>C4</f>
        <v>估价对象位于XX商圈，周边商业氛围成熟，人流量大，商业繁华度好</v>
      </c>
      <c r="D16" s="3095"/>
      <c r="E16" s="3141"/>
      <c r="F16" s="3142" t="s">
        <v>1648</v>
      </c>
      <c r="G16" s="3143" t="str">
        <f>G4</f>
        <v>估价对象周边道路状况、公共交通通达情况、停车便捷程度，综合评价交通便捷度较好</v>
      </c>
    </row>
    <row r="17" spans="1:7" ht="40.5">
      <c r="A17" s="3138"/>
      <c r="B17" s="3139" t="s">
        <v>1649</v>
      </c>
      <c r="C17" s="3140" t="str">
        <f>C5</f>
        <v>估价对象位于XX商圈，周边办公楼项目较多，入驻率高，办公集聚程度较好</v>
      </c>
      <c r="D17" s="3104"/>
      <c r="E17" s="3141"/>
      <c r="F17" s="3142" t="s">
        <v>1654</v>
      </c>
      <c r="G17" s="3144"/>
    </row>
    <row r="18" spans="1:7" ht="40.5">
      <c r="A18" s="3138"/>
      <c r="B18" s="3142" t="s">
        <v>1635</v>
      </c>
      <c r="C18" s="3143" t="str">
        <f>C6</f>
        <v>估价对象周边道路状况、公共交通通达情况、停车便捷程度，综合评价交通便捷度较好</v>
      </c>
      <c r="D18" s="3104"/>
      <c r="E18" s="3141"/>
      <c r="F18" s="3142" t="s">
        <v>1650</v>
      </c>
      <c r="G18" s="3143" t="str">
        <f>G7</f>
        <v>该园区内是否有污染型企业，绿化情况，卫生条件，整体环境状况判断</v>
      </c>
    </row>
    <row r="19" spans="1:7" ht="27">
      <c r="A19" s="3138"/>
      <c r="B19" s="3142" t="s">
        <v>1639</v>
      </c>
      <c r="C19" s="3144"/>
      <c r="D19" s="3095"/>
      <c r="E19" s="3141"/>
      <c r="F19" s="3099" t="s">
        <v>2507</v>
      </c>
      <c r="G19" s="3143" t="str">
        <f>G5</f>
        <v>估价对象所在区域公共配套设施齐备情况</v>
      </c>
    </row>
    <row r="20" spans="1:7" ht="27">
      <c r="A20" s="3138"/>
      <c r="B20" s="3142" t="s">
        <v>1640</v>
      </c>
      <c r="C20" s="3140" t="str">
        <f>C9</f>
        <v>区域自然环境：；人文环境；综合评价环境状况一般</v>
      </c>
      <c r="D20" s="3104"/>
      <c r="E20" s="3141"/>
      <c r="F20" s="3099" t="s">
        <v>2508</v>
      </c>
      <c r="G20" s="3143" t="str">
        <f>G6</f>
        <v>估价对象所在区域基础设施水平</v>
      </c>
    </row>
    <row r="21" spans="1:7" ht="27">
      <c r="A21" s="3138"/>
      <c r="B21" s="3099" t="s">
        <v>2507</v>
      </c>
      <c r="C21" s="3143" t="str">
        <f>C7</f>
        <v>估价对象所在区域公共配套设施齐备情况</v>
      </c>
      <c r="D21" s="3095"/>
      <c r="E21" s="3141"/>
      <c r="F21" s="3142" t="s">
        <v>1641</v>
      </c>
      <c r="G21" s="3145"/>
    </row>
    <row r="22" spans="1:7" ht="14.25">
      <c r="A22" s="3138"/>
      <c r="B22" s="3099" t="s">
        <v>2508</v>
      </c>
      <c r="C22" s="3143" t="str">
        <f>C8</f>
        <v>估价对象所在区域基础设施水平</v>
      </c>
      <c r="D22" s="3095"/>
      <c r="E22" s="3141"/>
      <c r="F22" s="3142" t="s">
        <v>1651</v>
      </c>
      <c r="G22" s="3144"/>
    </row>
    <row r="23" spans="1:7" ht="15" thickBot="1">
      <c r="A23" s="3138"/>
      <c r="B23" s="3142" t="s">
        <v>1641</v>
      </c>
      <c r="C23" s="3145"/>
      <c r="E23" s="3146"/>
      <c r="F23" s="3147" t="s">
        <v>1655</v>
      </c>
      <c r="G23" s="3148"/>
    </row>
    <row r="24" spans="1:7" ht="14.25" thickBot="1">
      <c r="A24" s="3149"/>
      <c r="B24" s="3147" t="s">
        <v>1642</v>
      </c>
      <c r="C24" s="3150">
        <f>C10</f>
        <v>0</v>
      </c>
      <c r="E24" s="3151"/>
      <c r="F24" s="3151"/>
      <c r="G24" s="3152"/>
    </row>
    <row r="25" spans="1:7">
      <c r="E25" s="3091"/>
      <c r="F25" s="3091"/>
      <c r="G25" s="3091"/>
    </row>
    <row r="26" spans="1:7">
      <c r="E26" s="3091"/>
      <c r="F26" s="3091"/>
      <c r="G26" s="3091"/>
    </row>
    <row r="27" spans="1:7">
      <c r="E27" s="3091"/>
      <c r="F27" s="3091"/>
      <c r="G27" s="3091"/>
    </row>
    <row r="28" spans="1:7">
      <c r="E28" s="3091"/>
      <c r="F28" s="3091"/>
      <c r="G28" s="3091"/>
    </row>
    <row r="29" spans="1:7">
      <c r="E29" s="3091"/>
      <c r="F29" s="3091"/>
      <c r="G29" s="3091"/>
    </row>
    <row r="30" spans="1:7">
      <c r="E30" s="3091"/>
      <c r="F30" s="3091"/>
      <c r="G30" s="3091"/>
    </row>
    <row r="31" spans="1:7">
      <c r="E31" s="3091"/>
      <c r="F31" s="3091"/>
      <c r="G31" s="3091"/>
    </row>
    <row r="32" spans="1:7">
      <c r="E32" s="3091"/>
      <c r="F32" s="3091"/>
      <c r="G32" s="3091"/>
    </row>
    <row r="33" spans="5:7">
      <c r="E33" s="3091"/>
      <c r="F33" s="3091"/>
      <c r="G33" s="3091"/>
    </row>
    <row r="34" spans="5:7">
      <c r="E34" s="3091"/>
      <c r="F34" s="3091"/>
      <c r="G34" s="3091"/>
    </row>
    <row r="35" spans="5:7">
      <c r="E35" s="3091"/>
      <c r="F35" s="3091"/>
      <c r="G35" s="3091"/>
    </row>
    <row r="36" spans="5:7">
      <c r="E36" s="3091"/>
      <c r="F36" s="3091"/>
      <c r="G36" s="3091"/>
    </row>
    <row r="37" spans="5:7">
      <c r="E37" s="3091"/>
      <c r="F37" s="3091"/>
      <c r="G37" s="309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6" sqref="K16"/>
    </sheetView>
  </sheetViews>
  <sheetFormatPr defaultColWidth="14.625" defaultRowHeight="13.5"/>
  <cols>
    <col min="1" max="1" width="24.375" style="3154" customWidth="1"/>
    <col min="2" max="16384" width="14.625" style="3154"/>
  </cols>
  <sheetData>
    <row r="1" spans="1:10" ht="16.5">
      <c r="A1" s="3153" t="s">
        <v>2800</v>
      </c>
      <c r="B1" s="3153">
        <f>SUM(B14:B23)</f>
        <v>104454</v>
      </c>
      <c r="C1" s="3162"/>
      <c r="D1" s="3162"/>
      <c r="E1" s="3162"/>
      <c r="F1" s="3162"/>
      <c r="G1" s="3163"/>
      <c r="H1" s="3163"/>
      <c r="I1" s="3163"/>
      <c r="J1" s="3163"/>
    </row>
    <row r="2" spans="1:10" ht="16.5">
      <c r="A2" s="3153" t="s">
        <v>2801</v>
      </c>
      <c r="B2" s="3153">
        <f>SUM(C14:C23)</f>
        <v>34818</v>
      </c>
      <c r="C2" s="3162"/>
      <c r="D2" s="3162"/>
      <c r="E2" s="3162"/>
      <c r="F2" s="3162"/>
      <c r="G2" s="3163"/>
      <c r="H2" s="3163"/>
      <c r="I2" s="3163"/>
      <c r="J2" s="3163"/>
    </row>
    <row r="3" spans="1:10" ht="16.5">
      <c r="A3" s="3153" t="s">
        <v>2802</v>
      </c>
      <c r="B3" s="3155">
        <f>项目基本情况!D3</f>
        <v>44574</v>
      </c>
      <c r="C3" s="3162"/>
      <c r="D3" s="3162"/>
      <c r="E3" s="3162"/>
      <c r="F3" s="3162"/>
      <c r="G3" s="3163"/>
      <c r="H3" s="3163"/>
      <c r="I3" s="3163"/>
      <c r="J3" s="3163"/>
    </row>
    <row r="4" spans="1:10" ht="33">
      <c r="A4" s="3153" t="s">
        <v>2803</v>
      </c>
      <c r="B4" s="3153" t="s">
        <v>2804</v>
      </c>
      <c r="C4" s="3153" t="s">
        <v>2805</v>
      </c>
      <c r="D4" s="3153" t="s">
        <v>2806</v>
      </c>
      <c r="E4" s="3162"/>
      <c r="F4" s="3162"/>
      <c r="G4" s="3163"/>
      <c r="H4" s="3163"/>
      <c r="I4" s="3163"/>
      <c r="J4" s="3163"/>
    </row>
    <row r="5" spans="1:10" ht="16.5">
      <c r="A5" s="3153" t="s">
        <v>2807</v>
      </c>
      <c r="B5" s="3153">
        <f ca="1">SUM(D14:D23)</f>
        <v>33798</v>
      </c>
      <c r="C5" s="3153">
        <f ca="1">ROUND(B5*10000/$B$1,0)</f>
        <v>3236</v>
      </c>
      <c r="D5" s="3153">
        <f ca="1">ROUND(B5*10000/$B$2,0)</f>
        <v>9707</v>
      </c>
      <c r="E5" s="3162"/>
      <c r="F5" s="3162"/>
      <c r="G5" s="3163"/>
      <c r="H5" s="3163"/>
      <c r="I5" s="3163"/>
      <c r="J5" s="3163"/>
    </row>
    <row r="6" spans="1:10" ht="16.5">
      <c r="A6" s="3153" t="s">
        <v>2808</v>
      </c>
      <c r="B6" s="3153">
        <f>SUM(G14:G23)</f>
        <v>0</v>
      </c>
      <c r="C6" s="3153">
        <f t="shared" ref="C6:C8" si="0">ROUND(B6*10000/$B$1,0)</f>
        <v>0</v>
      </c>
      <c r="D6" s="3153">
        <f t="shared" ref="D6:D8" si="1">ROUND(B6*10000/$B$2,0)</f>
        <v>0</v>
      </c>
      <c r="E6" s="3162"/>
      <c r="F6" s="3162"/>
      <c r="G6" s="3163"/>
      <c r="H6" s="3163"/>
      <c r="I6" s="3163"/>
      <c r="J6" s="3163"/>
    </row>
    <row r="7" spans="1:10" ht="16.5">
      <c r="A7" s="3153" t="s">
        <v>2809</v>
      </c>
      <c r="B7" s="3153">
        <f>SUM(H14:H23)</f>
        <v>0</v>
      </c>
      <c r="C7" s="3153">
        <f t="shared" si="0"/>
        <v>0</v>
      </c>
      <c r="D7" s="3153">
        <f t="shared" si="1"/>
        <v>0</v>
      </c>
      <c r="E7" s="3162"/>
      <c r="F7" s="3162"/>
      <c r="G7" s="3163"/>
      <c r="H7" s="3163"/>
      <c r="I7" s="3163"/>
      <c r="J7" s="3163"/>
    </row>
    <row r="8" spans="1:10" ht="16.5">
      <c r="A8" s="3153" t="s">
        <v>2810</v>
      </c>
      <c r="B8" s="3153">
        <f>SUM(I14:I23)</f>
        <v>0</v>
      </c>
      <c r="C8" s="3153">
        <f t="shared" si="0"/>
        <v>0</v>
      </c>
      <c r="D8" s="3153">
        <f t="shared" si="1"/>
        <v>0</v>
      </c>
      <c r="E8" s="3162"/>
      <c r="F8" s="3162"/>
      <c r="G8" s="3163"/>
      <c r="H8" s="3163"/>
      <c r="I8" s="3163"/>
      <c r="J8" s="3163"/>
    </row>
    <row r="9" spans="1:10" ht="16.5">
      <c r="A9" s="3153" t="s">
        <v>2811</v>
      </c>
      <c r="B9" s="3161"/>
      <c r="C9" s="3162"/>
      <c r="D9" s="3162"/>
      <c r="E9" s="3162"/>
      <c r="F9" s="3162"/>
      <c r="G9" s="3163"/>
      <c r="H9" s="3163"/>
      <c r="I9" s="3163"/>
      <c r="J9" s="3163"/>
    </row>
    <row r="10" spans="1:10" ht="16.5">
      <c r="A10" s="3153" t="s">
        <v>2812</v>
      </c>
      <c r="B10" s="3161"/>
      <c r="C10" s="3162"/>
      <c r="D10" s="3162"/>
      <c r="E10" s="3162"/>
      <c r="F10" s="3162"/>
      <c r="G10" s="3163"/>
      <c r="H10" s="3163"/>
      <c r="I10" s="3163"/>
      <c r="J10" s="3163"/>
    </row>
    <row r="11" spans="1:10" ht="16.5">
      <c r="A11" s="3153" t="s">
        <v>2829</v>
      </c>
      <c r="B11" s="3161"/>
      <c r="C11" s="3162"/>
      <c r="D11" s="3162"/>
      <c r="E11" s="3162"/>
      <c r="F11" s="3162"/>
      <c r="G11" s="3163"/>
      <c r="H11" s="3163"/>
      <c r="I11" s="3163"/>
      <c r="J11" s="3163"/>
    </row>
    <row r="12" spans="1:10" ht="16.5">
      <c r="A12" s="3162"/>
      <c r="B12" s="3162"/>
      <c r="C12" s="3162"/>
      <c r="D12" s="3162"/>
      <c r="E12" s="3162"/>
      <c r="F12" s="3162"/>
      <c r="G12" s="3163"/>
      <c r="H12" s="3163"/>
      <c r="I12" s="3163"/>
      <c r="J12" s="3163"/>
    </row>
    <row r="13" spans="1:10" ht="33">
      <c r="A13" s="3156" t="s">
        <v>2828</v>
      </c>
      <c r="B13" s="3157" t="s">
        <v>2800</v>
      </c>
      <c r="C13" s="3157" t="s">
        <v>2801</v>
      </c>
      <c r="D13" s="3157" t="s">
        <v>2813</v>
      </c>
      <c r="E13" s="3153" t="s">
        <v>2827</v>
      </c>
      <c r="F13" s="3153" t="s">
        <v>2806</v>
      </c>
      <c r="G13" s="3157" t="s">
        <v>2814</v>
      </c>
      <c r="H13" s="3157" t="s">
        <v>2815</v>
      </c>
      <c r="I13" s="3157" t="s">
        <v>2816</v>
      </c>
      <c r="J13" s="3163"/>
    </row>
    <row r="14" spans="1:10" ht="16.5">
      <c r="A14" s="3158" t="s">
        <v>2826</v>
      </c>
      <c r="B14" s="3159">
        <f>结果表!L38</f>
        <v>104454</v>
      </c>
      <c r="C14" s="3159">
        <f>结果表!K38</f>
        <v>34818</v>
      </c>
      <c r="D14" s="3159">
        <f ca="1">结果表!C42</f>
        <v>33798</v>
      </c>
      <c r="E14" s="3159">
        <f ca="1">ROUND(D14*10000/B14,0)</f>
        <v>3236</v>
      </c>
      <c r="F14" s="3159">
        <f ca="1">ROUND(D14*10000/C14,0)</f>
        <v>9707</v>
      </c>
      <c r="G14" s="3159" t="str">
        <f>结果表!C44</f>
        <v>——</v>
      </c>
      <c r="H14" s="3159" t="str">
        <f>结果表!C45</f>
        <v>——</v>
      </c>
      <c r="I14" s="3159" t="str">
        <f>结果表!C46</f>
        <v>——</v>
      </c>
      <c r="J14" s="3163"/>
    </row>
    <row r="15" spans="1:10" ht="16.5">
      <c r="A15" s="3158" t="s">
        <v>2817</v>
      </c>
      <c r="B15" s="3160"/>
      <c r="C15" s="3160"/>
      <c r="D15" s="3160"/>
      <c r="E15" s="3159" t="e">
        <f t="shared" ref="E15:E23" si="2">ROUND(D15*10000/B15,0)</f>
        <v>#DIV/0!</v>
      </c>
      <c r="F15" s="3159" t="e">
        <f t="shared" ref="F15:F23" si="3">ROUND(D15*10000/C15,0)</f>
        <v>#DIV/0!</v>
      </c>
      <c r="G15" s="2725"/>
      <c r="H15" s="2725"/>
      <c r="I15" s="3160"/>
      <c r="J15" s="3163"/>
    </row>
    <row r="16" spans="1:10" ht="16.5">
      <c r="A16" s="3158" t="s">
        <v>2818</v>
      </c>
      <c r="B16" s="3160"/>
      <c r="C16" s="3160"/>
      <c r="D16" s="3160"/>
      <c r="E16" s="3159" t="e">
        <f t="shared" si="2"/>
        <v>#DIV/0!</v>
      </c>
      <c r="F16" s="3159" t="e">
        <f t="shared" si="3"/>
        <v>#DIV/0!</v>
      </c>
      <c r="G16" s="2725"/>
      <c r="H16" s="2725"/>
      <c r="I16" s="3160"/>
      <c r="J16" s="3163"/>
    </row>
    <row r="17" spans="1:10" ht="16.5">
      <c r="A17" s="3158" t="s">
        <v>2819</v>
      </c>
      <c r="B17" s="3160"/>
      <c r="C17" s="3160"/>
      <c r="D17" s="3160"/>
      <c r="E17" s="3159" t="e">
        <f t="shared" si="2"/>
        <v>#DIV/0!</v>
      </c>
      <c r="F17" s="3159" t="e">
        <f t="shared" si="3"/>
        <v>#DIV/0!</v>
      </c>
      <c r="G17" s="2725"/>
      <c r="H17" s="2725"/>
      <c r="I17" s="3160"/>
      <c r="J17" s="3163"/>
    </row>
    <row r="18" spans="1:10" ht="16.5">
      <c r="A18" s="3158" t="s">
        <v>2820</v>
      </c>
      <c r="B18" s="3160"/>
      <c r="C18" s="3160"/>
      <c r="D18" s="3160"/>
      <c r="E18" s="3159" t="e">
        <f t="shared" si="2"/>
        <v>#DIV/0!</v>
      </c>
      <c r="F18" s="3159" t="e">
        <f t="shared" si="3"/>
        <v>#DIV/0!</v>
      </c>
      <c r="G18" s="3160"/>
      <c r="H18" s="3160"/>
      <c r="I18" s="3160"/>
      <c r="J18" s="3163"/>
    </row>
    <row r="19" spans="1:10" ht="16.5">
      <c r="A19" s="3158" t="s">
        <v>2821</v>
      </c>
      <c r="B19" s="3160"/>
      <c r="C19" s="3160"/>
      <c r="D19" s="3160"/>
      <c r="E19" s="3159" t="e">
        <f t="shared" si="2"/>
        <v>#DIV/0!</v>
      </c>
      <c r="F19" s="3159" t="e">
        <f t="shared" si="3"/>
        <v>#DIV/0!</v>
      </c>
      <c r="G19" s="3160"/>
      <c r="H19" s="3160"/>
      <c r="I19" s="3160"/>
      <c r="J19" s="3163"/>
    </row>
    <row r="20" spans="1:10" ht="16.5">
      <c r="A20" s="3158" t="s">
        <v>2822</v>
      </c>
      <c r="B20" s="3160"/>
      <c r="C20" s="3160"/>
      <c r="D20" s="3160"/>
      <c r="E20" s="3159" t="e">
        <f t="shared" si="2"/>
        <v>#DIV/0!</v>
      </c>
      <c r="F20" s="3159" t="e">
        <f t="shared" si="3"/>
        <v>#DIV/0!</v>
      </c>
      <c r="G20" s="3160"/>
      <c r="H20" s="3160"/>
      <c r="I20" s="3160"/>
      <c r="J20" s="3163"/>
    </row>
    <row r="21" spans="1:10" ht="16.5">
      <c r="A21" s="3158" t="s">
        <v>2823</v>
      </c>
      <c r="B21" s="3160"/>
      <c r="C21" s="3160"/>
      <c r="D21" s="3160"/>
      <c r="E21" s="3159" t="e">
        <f t="shared" si="2"/>
        <v>#DIV/0!</v>
      </c>
      <c r="F21" s="3159" t="e">
        <f t="shared" si="3"/>
        <v>#DIV/0!</v>
      </c>
      <c r="G21" s="3160"/>
      <c r="H21" s="3160"/>
      <c r="I21" s="3160"/>
      <c r="J21" s="3163"/>
    </row>
    <row r="22" spans="1:10" ht="16.5">
      <c r="A22" s="3158" t="s">
        <v>2824</v>
      </c>
      <c r="B22" s="3160"/>
      <c r="C22" s="3160"/>
      <c r="D22" s="3160"/>
      <c r="E22" s="3159" t="e">
        <f t="shared" si="2"/>
        <v>#DIV/0!</v>
      </c>
      <c r="F22" s="3159" t="e">
        <f t="shared" si="3"/>
        <v>#DIV/0!</v>
      </c>
      <c r="G22" s="3160"/>
      <c r="H22" s="3160"/>
      <c r="I22" s="3160"/>
      <c r="J22" s="3163"/>
    </row>
    <row r="23" spans="1:10" ht="16.5">
      <c r="A23" s="3158" t="s">
        <v>2825</v>
      </c>
      <c r="B23" s="3160"/>
      <c r="C23" s="3160"/>
      <c r="D23" s="3160"/>
      <c r="E23" s="3161" t="e">
        <f t="shared" si="2"/>
        <v>#DIV/0!</v>
      </c>
      <c r="F23" s="3161" t="e">
        <f t="shared" si="3"/>
        <v>#DIV/0!</v>
      </c>
      <c r="G23" s="3160"/>
      <c r="H23" s="3160"/>
      <c r="I23" s="3160"/>
      <c r="J23" s="3163"/>
    </row>
    <row r="24" spans="1:10">
      <c r="A24" s="3163"/>
      <c r="B24" s="3163"/>
      <c r="C24" s="3163"/>
      <c r="D24" s="3163"/>
      <c r="E24" s="3163"/>
      <c r="F24" s="3163"/>
      <c r="G24" s="3163"/>
      <c r="H24" s="3163"/>
      <c r="I24" s="3163"/>
      <c r="J24" s="3163"/>
    </row>
    <row r="25" spans="1:10">
      <c r="A25" s="3163"/>
      <c r="B25" s="3163"/>
      <c r="C25" s="3163"/>
      <c r="D25" s="3163"/>
      <c r="E25" s="3163"/>
      <c r="F25" s="3163"/>
      <c r="G25" s="3163"/>
      <c r="H25" s="3163"/>
      <c r="I25" s="3163"/>
      <c r="J25" s="3163"/>
    </row>
    <row r="26" spans="1:10">
      <c r="A26" s="3163"/>
      <c r="B26" s="3163"/>
      <c r="C26" s="3163"/>
      <c r="D26" s="3163"/>
      <c r="E26" s="3163"/>
      <c r="F26" s="3163"/>
      <c r="G26" s="3163"/>
      <c r="H26" s="3163"/>
      <c r="I26" s="3163"/>
      <c r="J26" s="316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446" t="str">
        <f>项目基本情况!K2</f>
        <v>出让国有建设用地使用权</v>
      </c>
      <c r="B2" s="3447"/>
      <c r="C2" s="3448"/>
      <c r="D2" s="3448"/>
      <c r="E2" s="3448"/>
      <c r="F2" s="3448"/>
      <c r="G2" s="3447"/>
      <c r="H2" s="3447"/>
      <c r="I2" s="3449"/>
      <c r="J2" s="1886"/>
      <c r="K2" s="1885"/>
      <c r="L2" s="1885"/>
      <c r="M2" s="1885"/>
      <c r="N2" s="1885"/>
      <c r="O2" s="1885"/>
      <c r="P2" s="1885"/>
      <c r="Q2" s="1885"/>
      <c r="R2" s="1885"/>
      <c r="S2" s="1885"/>
      <c r="T2" s="1885"/>
      <c r="U2" s="1885"/>
      <c r="V2" s="1885"/>
    </row>
    <row r="3" spans="1:22" ht="14.25">
      <c r="A3" s="3439" t="s">
        <v>298</v>
      </c>
      <c r="B3" s="3440"/>
      <c r="C3" s="3440"/>
      <c r="D3" s="3440"/>
      <c r="E3" s="3440"/>
      <c r="F3" s="3440"/>
      <c r="G3" s="3440"/>
      <c r="H3" s="3440"/>
      <c r="I3" s="3440"/>
      <c r="J3" s="1886"/>
      <c r="K3" s="1885"/>
      <c r="L3" s="1885"/>
      <c r="M3" s="1885"/>
      <c r="N3" s="1885"/>
      <c r="O3" s="1885"/>
      <c r="P3" s="1885"/>
      <c r="Q3" s="1885"/>
      <c r="R3" s="1885"/>
      <c r="S3" s="1885"/>
      <c r="T3" s="1885"/>
      <c r="U3" s="1885"/>
      <c r="V3" s="1885"/>
    </row>
    <row r="4" spans="1:22" ht="14.25">
      <c r="A4" s="256" t="s">
        <v>299</v>
      </c>
      <c r="B4" s="257" t="s">
        <v>300</v>
      </c>
      <c r="C4" s="258" t="s">
        <v>3003</v>
      </c>
      <c r="D4" s="258" t="s">
        <v>3004</v>
      </c>
      <c r="E4" s="3405" t="s">
        <v>301</v>
      </c>
      <c r="F4" s="3406"/>
      <c r="G4" s="3406"/>
      <c r="H4" s="3406"/>
      <c r="I4" s="3441"/>
      <c r="J4" s="1886"/>
      <c r="K4" s="1885"/>
      <c r="L4" s="316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404" t="s">
        <v>302</v>
      </c>
      <c r="B5" s="3433">
        <v>25</v>
      </c>
      <c r="C5" s="3431"/>
      <c r="D5" s="3435"/>
      <c r="E5" s="259" t="s">
        <v>303</v>
      </c>
      <c r="F5" s="260"/>
      <c r="G5" s="260"/>
      <c r="H5" s="260"/>
      <c r="I5" s="261"/>
      <c r="J5" s="1886"/>
      <c r="K5" s="1885"/>
      <c r="L5" s="1885"/>
      <c r="M5" s="1885"/>
      <c r="N5" s="1885"/>
      <c r="O5" s="1885"/>
      <c r="P5" s="1885"/>
      <c r="Q5" s="1885"/>
      <c r="R5" s="1885"/>
      <c r="S5" s="1885"/>
      <c r="T5" s="1885"/>
      <c r="U5" s="1885"/>
      <c r="V5" s="1885"/>
    </row>
    <row r="6" spans="1:22" ht="14.25">
      <c r="A6" s="3404"/>
      <c r="B6" s="3433"/>
      <c r="C6" s="3434"/>
      <c r="D6" s="3435"/>
      <c r="E6" s="259" t="s">
        <v>304</v>
      </c>
      <c r="F6" s="260"/>
      <c r="G6" s="260"/>
      <c r="H6" s="260"/>
      <c r="I6" s="261"/>
      <c r="J6" s="1886"/>
      <c r="K6" s="1885"/>
      <c r="L6" s="1885"/>
      <c r="M6" s="1885"/>
      <c r="N6" s="1885"/>
      <c r="O6" s="1885"/>
      <c r="P6" s="1885"/>
      <c r="Q6" s="1885"/>
      <c r="R6" s="1885"/>
      <c r="S6" s="1885"/>
      <c r="T6" s="1885"/>
      <c r="U6" s="1885"/>
      <c r="V6" s="1885"/>
    </row>
    <row r="7" spans="1:22" ht="14.25">
      <c r="A7" s="3404"/>
      <c r="B7" s="3433"/>
      <c r="C7" s="3432"/>
      <c r="D7" s="3435"/>
      <c r="E7" s="259" t="s">
        <v>305</v>
      </c>
      <c r="F7" s="260"/>
      <c r="G7" s="260"/>
      <c r="H7" s="260"/>
      <c r="I7" s="261"/>
      <c r="J7" s="1886"/>
      <c r="K7" s="1885"/>
      <c r="L7" s="1885"/>
      <c r="M7" s="1885"/>
      <c r="N7" s="1885"/>
      <c r="O7" s="1885"/>
      <c r="P7" s="1885"/>
      <c r="Q7" s="1885"/>
      <c r="R7" s="1885"/>
      <c r="S7" s="1885"/>
      <c r="T7" s="1885"/>
      <c r="U7" s="1885"/>
      <c r="V7" s="1885"/>
    </row>
    <row r="8" spans="1:22" ht="14.25">
      <c r="A8" s="3404" t="s">
        <v>306</v>
      </c>
      <c r="B8" s="3433">
        <v>15</v>
      </c>
      <c r="C8" s="3431"/>
      <c r="D8" s="3435"/>
      <c r="E8" s="259" t="s">
        <v>307</v>
      </c>
      <c r="F8" s="260"/>
      <c r="G8" s="260"/>
      <c r="H8" s="260"/>
      <c r="I8" s="261"/>
      <c r="J8" s="1886"/>
      <c r="K8" s="1885"/>
      <c r="L8" s="1885"/>
      <c r="M8" s="1885"/>
      <c r="N8" s="1885"/>
      <c r="O8" s="1885"/>
      <c r="P8" s="1885"/>
      <c r="Q8" s="1885"/>
      <c r="R8" s="1885"/>
      <c r="S8" s="1885"/>
      <c r="T8" s="1885"/>
      <c r="U8" s="1885"/>
      <c r="V8" s="1885"/>
    </row>
    <row r="9" spans="1:22" ht="14.25">
      <c r="A9" s="3404"/>
      <c r="B9" s="3433"/>
      <c r="C9" s="3432"/>
      <c r="D9" s="3435"/>
      <c r="E9" s="259" t="s">
        <v>308</v>
      </c>
      <c r="F9" s="260"/>
      <c r="G9" s="260"/>
      <c r="H9" s="260"/>
      <c r="I9" s="261"/>
      <c r="J9" s="1886"/>
      <c r="K9" s="1885"/>
      <c r="L9" s="1885"/>
      <c r="M9" s="1885"/>
      <c r="N9" s="1885"/>
      <c r="O9" s="1885"/>
      <c r="P9" s="1885"/>
      <c r="Q9" s="1885"/>
      <c r="R9" s="1885"/>
      <c r="S9" s="1885"/>
      <c r="T9" s="1885"/>
      <c r="U9" s="1885"/>
      <c r="V9" s="1885"/>
    </row>
    <row r="10" spans="1:22" ht="14.25">
      <c r="A10" s="3404" t="s">
        <v>309</v>
      </c>
      <c r="B10" s="3433">
        <v>15</v>
      </c>
      <c r="C10" s="3431"/>
      <c r="D10" s="3435"/>
      <c r="E10" s="259" t="s">
        <v>310</v>
      </c>
      <c r="F10" s="260"/>
      <c r="G10" s="260"/>
      <c r="H10" s="260"/>
      <c r="I10" s="261"/>
      <c r="J10" s="1886"/>
      <c r="K10" s="1885"/>
      <c r="L10" s="1885"/>
      <c r="M10" s="1885"/>
      <c r="N10" s="1885"/>
      <c r="O10" s="1885"/>
      <c r="P10" s="1885"/>
      <c r="Q10" s="1885"/>
      <c r="R10" s="1885"/>
      <c r="S10" s="1885"/>
      <c r="T10" s="1885"/>
      <c r="U10" s="1885"/>
      <c r="V10" s="1885"/>
    </row>
    <row r="11" spans="1:22" ht="14.25">
      <c r="A11" s="3404"/>
      <c r="B11" s="3433"/>
      <c r="C11" s="3432"/>
      <c r="D11" s="3435"/>
      <c r="E11" s="259" t="s">
        <v>311</v>
      </c>
      <c r="F11" s="260"/>
      <c r="G11" s="260"/>
      <c r="H11" s="260"/>
      <c r="I11" s="261"/>
      <c r="J11" s="1886"/>
      <c r="K11" s="1885"/>
      <c r="L11" s="1885"/>
      <c r="M11" s="1885"/>
      <c r="N11" s="1885"/>
      <c r="O11" s="1885"/>
      <c r="P11" s="1885"/>
      <c r="Q11" s="1885"/>
      <c r="R11" s="1885"/>
      <c r="S11" s="1885"/>
      <c r="T11" s="1885"/>
      <c r="U11" s="1885"/>
      <c r="V11" s="1885"/>
    </row>
    <row r="12" spans="1:22" ht="14.25">
      <c r="A12" s="3404" t="s">
        <v>312</v>
      </c>
      <c r="B12" s="3433">
        <v>15</v>
      </c>
      <c r="C12" s="3431"/>
      <c r="D12" s="3435"/>
      <c r="E12" s="259" t="s">
        <v>313</v>
      </c>
      <c r="F12" s="260"/>
      <c r="G12" s="260"/>
      <c r="H12" s="260"/>
      <c r="I12" s="261"/>
      <c r="J12" s="1886"/>
      <c r="K12" s="1885"/>
      <c r="L12" s="1885"/>
      <c r="M12" s="1885"/>
      <c r="N12" s="1885"/>
      <c r="O12" s="1885"/>
      <c r="P12" s="1885"/>
      <c r="Q12" s="1885"/>
      <c r="R12" s="1885"/>
      <c r="S12" s="1885"/>
      <c r="T12" s="1885"/>
      <c r="U12" s="1885"/>
      <c r="V12" s="1885"/>
    </row>
    <row r="13" spans="1:22" ht="14.25">
      <c r="A13" s="3404"/>
      <c r="B13" s="3433"/>
      <c r="C13" s="3432"/>
      <c r="D13" s="3435"/>
      <c r="E13" s="259" t="s">
        <v>314</v>
      </c>
      <c r="F13" s="260"/>
      <c r="G13" s="260"/>
      <c r="H13" s="260"/>
      <c r="I13" s="261"/>
      <c r="J13" s="1886"/>
      <c r="K13" s="1885"/>
      <c r="L13" s="1885"/>
      <c r="M13" s="1885"/>
      <c r="N13" s="1885"/>
      <c r="O13" s="1885"/>
      <c r="P13" s="1885"/>
      <c r="Q13" s="1885"/>
      <c r="R13" s="1885"/>
      <c r="S13" s="1885"/>
      <c r="T13" s="1885"/>
      <c r="U13" s="1885"/>
      <c r="V13" s="1885"/>
    </row>
    <row r="14" spans="1:22" ht="14.25">
      <c r="A14" s="3404" t="s">
        <v>315</v>
      </c>
      <c r="B14" s="3433">
        <v>30</v>
      </c>
      <c r="C14" s="3431">
        <v>5</v>
      </c>
      <c r="D14" s="3435">
        <v>5</v>
      </c>
      <c r="E14" s="259" t="s">
        <v>316</v>
      </c>
      <c r="F14" s="260"/>
      <c r="G14" s="260"/>
      <c r="H14" s="260"/>
      <c r="I14" s="261"/>
      <c r="J14" s="1886"/>
      <c r="K14" s="1885"/>
      <c r="L14" s="1885"/>
      <c r="M14" s="1885"/>
      <c r="N14" s="1885"/>
      <c r="O14" s="1885"/>
      <c r="P14" s="1885"/>
      <c r="Q14" s="1885"/>
      <c r="R14" s="1885"/>
      <c r="S14" s="1885"/>
      <c r="T14" s="1885"/>
      <c r="U14" s="1885"/>
      <c r="V14" s="1885"/>
    </row>
    <row r="15" spans="1:22" ht="12" customHeight="1">
      <c r="A15" s="3404"/>
      <c r="B15" s="3433"/>
      <c r="C15" s="3434"/>
      <c r="D15" s="3435"/>
      <c r="E15" s="259" t="s">
        <v>317</v>
      </c>
      <c r="F15" s="260"/>
      <c r="G15" s="260"/>
      <c r="H15" s="260"/>
      <c r="I15" s="261"/>
      <c r="J15" s="1886"/>
      <c r="K15" s="1885"/>
      <c r="L15" s="1885"/>
      <c r="M15" s="1885"/>
      <c r="N15" s="1885"/>
      <c r="O15" s="1885"/>
      <c r="P15" s="1885"/>
      <c r="Q15" s="1885"/>
      <c r="R15" s="1885"/>
      <c r="S15" s="1885"/>
      <c r="T15" s="1885"/>
      <c r="U15" s="1885"/>
      <c r="V15" s="1885"/>
    </row>
    <row r="16" spans="1:22" ht="14.25">
      <c r="A16" s="3404"/>
      <c r="B16" s="3433"/>
      <c r="C16" s="3432"/>
      <c r="D16" s="3435"/>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0.5</v>
      </c>
      <c r="D18" s="265">
        <f>1-C18</f>
        <v>0.5</v>
      </c>
      <c r="E18" s="3436" t="s">
        <v>2939</v>
      </c>
      <c r="F18" s="3437"/>
      <c r="G18" s="3437"/>
      <c r="H18" s="3437"/>
      <c r="I18" s="3437"/>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32951</v>
      </c>
      <c r="D19" s="269">
        <f ca="1">SUMIF(INDIRECT("'"&amp;D4&amp;"'"&amp;"!A:A"),结果表!B19,INDIRECT("'"&amp;D4&amp;"'"&amp;"!B:B"))</f>
        <v>34644</v>
      </c>
      <c r="E19" s="266" t="s">
        <v>323</v>
      </c>
      <c r="F19" s="267" t="s">
        <v>322</v>
      </c>
      <c r="G19" s="270">
        <f ca="1">ROUND(C19*$C$18+D19*$D$18,0)</f>
        <v>33798</v>
      </c>
      <c r="H19" s="271" t="s">
        <v>324</v>
      </c>
      <c r="I19" s="309"/>
      <c r="J19" s="1885"/>
      <c r="K19" s="1885">
        <v>43171</v>
      </c>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3155</v>
      </c>
      <c r="D20" s="275">
        <f ca="1">SUMIF(INDIRECT("'"&amp;D4&amp;"'"&amp;"!A:A"),结果表!B20,INDIRECT("'"&amp;D4&amp;"'"&amp;"!B:B"))</f>
        <v>3317</v>
      </c>
      <c r="E20" s="272"/>
      <c r="F20" s="273" t="s">
        <v>325</v>
      </c>
      <c r="G20" s="276">
        <f ca="1">ROUND(C20*$C$18+D20*$D$18,0)</f>
        <v>3236</v>
      </c>
      <c r="H20" s="277" t="s">
        <v>326</v>
      </c>
      <c r="I20" s="309"/>
      <c r="J20" s="1885"/>
      <c r="K20" s="1885">
        <v>3139</v>
      </c>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9464</v>
      </c>
      <c r="D21" s="149">
        <f ca="1">SUMIF(INDIRECT("'"&amp;D4&amp;"'"&amp;"!A:A"),结果表!B21,INDIRECT("'"&amp;D4&amp;"'"&amp;"!B:B"))</f>
        <v>9950</v>
      </c>
      <c r="E21" s="272"/>
      <c r="F21" s="278" t="s">
        <v>327</v>
      </c>
      <c r="G21" s="280">
        <f ca="1">ROUND(C21*$C$18+D21*$D$18,0)</f>
        <v>9707</v>
      </c>
      <c r="H21" s="1188" t="s">
        <v>326</v>
      </c>
      <c r="I21" s="309"/>
      <c r="J21" s="1885"/>
      <c r="K21" s="1885">
        <v>9731</v>
      </c>
      <c r="L21" s="1885"/>
      <c r="M21" s="1885"/>
      <c r="N21" s="1885"/>
      <c r="O21" s="1885"/>
      <c r="P21" s="1885"/>
      <c r="Q21" s="1885"/>
      <c r="R21" s="1885"/>
      <c r="S21" s="1885"/>
      <c r="T21" s="1885"/>
      <c r="U21" s="1885"/>
      <c r="V21" s="1885"/>
    </row>
    <row r="22" spans="1:26" ht="15.75" thickBot="1">
      <c r="A22" s="126" t="s">
        <v>328</v>
      </c>
      <c r="B22" s="1189"/>
      <c r="C22" s="1190"/>
      <c r="D22" s="281">
        <f ca="1">IF(C19&lt;D19,D19/C19-1,C19/D19-1)</f>
        <v>5.1379320809687101E-2</v>
      </c>
      <c r="E22" s="282"/>
      <c r="F22" s="283"/>
      <c r="G22" s="284">
        <f ca="1">ROUND(G19/('数据-汇总表'!D3/666.67),0)</f>
        <v>647</v>
      </c>
      <c r="H22" s="285" t="s">
        <v>329</v>
      </c>
      <c r="I22" s="309"/>
      <c r="J22" s="1885"/>
      <c r="K22" s="1885">
        <v>649</v>
      </c>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410"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411"/>
      <c r="B25" s="1258" t="s">
        <v>331</v>
      </c>
      <c r="C25" s="288">
        <f>IF(B30=0,0,C30)</f>
        <v>0</v>
      </c>
      <c r="D25" s="289"/>
      <c r="E25" s="309"/>
      <c r="F25" s="309"/>
      <c r="G25" s="309"/>
      <c r="H25" s="309"/>
      <c r="I25" s="309"/>
      <c r="J25" s="1885"/>
      <c r="K25" s="1192" t="str">
        <f ca="1">项目基本情况!B16&amp;"国有建设用地使用权价格："&amp;O38&amp;"万元"</f>
        <v>出让国有建设用地使用权价格：33798万元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大写金额：人民币叁亿叁仟柒佰玖拾捌万元整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单位面积地价：9707元/平方米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楼面地价：3236元/平方米</v>
      </c>
      <c r="L28" s="1189"/>
      <c r="M28" s="1189"/>
      <c r="N28" s="1189"/>
      <c r="O28" s="1188"/>
      <c r="P28" s="1885"/>
      <c r="V28" s="1885"/>
    </row>
    <row r="29" spans="1:26" ht="18">
      <c r="A29" s="291"/>
      <c r="B29" s="292"/>
      <c r="C29" s="292"/>
      <c r="D29" s="293"/>
      <c r="E29" s="309"/>
      <c r="F29" s="309"/>
      <c r="G29" s="309"/>
      <c r="H29" s="309"/>
      <c r="I29" s="309"/>
      <c r="J29" s="1885"/>
      <c r="K29" s="1195" t="str">
        <f>IF(OR(项目基本情况!E8="抵押价格",项目基本情况!E8="已注销及未注销"),"抵押价格："&amp;O39&amp;"万元","——")</f>
        <v>——</v>
      </c>
      <c r="L29" s="1189"/>
      <c r="M29" s="1189"/>
      <c r="N29" s="1189"/>
      <c r="O29" s="1188"/>
      <c r="P29" s="1885"/>
      <c r="V29" s="1885"/>
    </row>
    <row r="30" spans="1:26" ht="18.75" thickBot="1">
      <c r="A30" s="2768" t="s">
        <v>336</v>
      </c>
      <c r="B30" s="307"/>
      <c r="C30" s="307"/>
      <c r="D30" s="308"/>
      <c r="E30" s="2971" t="s">
        <v>2940</v>
      </c>
      <c r="F30" s="309"/>
      <c r="G30" s="309"/>
      <c r="H30" s="309"/>
      <c r="I30" s="309"/>
      <c r="J30" s="1885"/>
      <c r="K30" s="1195" t="str">
        <f>IF(K29="——","——","大写金额：人民币"&amp;NUMBERSTRING(INT(O39*10000),2)&amp;"元整")</f>
        <v>——</v>
      </c>
      <c r="L30" s="1189"/>
      <c r="M30" s="1189"/>
      <c r="N30" s="1189"/>
      <c r="O30" s="1188"/>
      <c r="P30" s="1885"/>
      <c r="V30" s="1885"/>
    </row>
    <row r="31" spans="1:26" ht="24" customHeight="1" thickBot="1">
      <c r="A31" s="3438" t="s">
        <v>2941</v>
      </c>
      <c r="B31" s="3438"/>
      <c r="C31" s="3438"/>
      <c r="D31" s="3438"/>
      <c r="E31" s="3438"/>
      <c r="F31" s="3438"/>
      <c r="G31" s="3438"/>
      <c r="H31" s="3438"/>
      <c r="I31" s="3438"/>
      <c r="J31" s="1885"/>
      <c r="K31" s="2296" t="str">
        <f>IF(项目基本情况!E8="抵押价格","——","抵押担保权已注销时的抵押价格："&amp;O40&amp;"万元")</f>
        <v>抵押担保权已注销时的抵押价格：——万元</v>
      </c>
      <c r="L31" s="2292"/>
      <c r="M31" s="2292"/>
      <c r="N31" s="2292"/>
      <c r="O31" s="2293"/>
      <c r="P31" s="1885"/>
      <c r="V31" s="1885"/>
    </row>
    <row r="32" spans="1:26" ht="19.5" thickTop="1" thickBot="1">
      <c r="A32" s="272" t="s">
        <v>337</v>
      </c>
      <c r="B32" s="2972" t="s">
        <v>1668</v>
      </c>
      <c r="C32" s="264">
        <f ca="1">G19-C24</f>
        <v>33798</v>
      </c>
      <c r="D32" s="2973" t="s">
        <v>1669</v>
      </c>
      <c r="E32" s="309"/>
      <c r="F32" s="309"/>
      <c r="G32" s="309"/>
      <c r="H32" s="309"/>
      <c r="I32" s="309"/>
      <c r="J32" s="1885"/>
      <c r="K32" s="2291" t="e">
        <f>IF(K31="——","——","大写金额：人民币"&amp;NUMBERSTRING(INT(O40*10000),2)&amp;"元整")</f>
        <v>#VALUE!</v>
      </c>
      <c r="L32" s="2294"/>
      <c r="M32" s="2294"/>
      <c r="N32" s="2294"/>
      <c r="O32" s="2295"/>
      <c r="P32" s="1885"/>
      <c r="V32" s="1885"/>
    </row>
    <row r="33" spans="1:26" ht="18.75" thickBot="1">
      <c r="A33" s="296" t="s">
        <v>340</v>
      </c>
      <c r="B33" s="1308" t="s">
        <v>1670</v>
      </c>
      <c r="C33" s="262">
        <f ca="1">ROUND(C32*10000/'数据-汇总表'!E3,0)</f>
        <v>3236</v>
      </c>
      <c r="D33" s="1309" t="s">
        <v>1671</v>
      </c>
      <c r="E33" s="3410"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9707</v>
      </c>
      <c r="D34" s="1311" t="s">
        <v>1671</v>
      </c>
      <c r="E34" s="3454"/>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647</v>
      </c>
      <c r="D35" s="1314" t="s">
        <v>1673</v>
      </c>
      <c r="E35" s="3455"/>
      <c r="F35" s="299" t="s">
        <v>342</v>
      </c>
      <c r="G35" s="953"/>
      <c r="H35" s="952" t="s">
        <v>343</v>
      </c>
      <c r="I35" s="309"/>
      <c r="J35" s="1885"/>
      <c r="K35" s="3428" t="s">
        <v>350</v>
      </c>
      <c r="L35" s="3428" t="s">
        <v>351</v>
      </c>
      <c r="M35" s="1201" t="s">
        <v>352</v>
      </c>
      <c r="N35" s="3428" t="s">
        <v>353</v>
      </c>
      <c r="O35" s="3428" t="s">
        <v>354</v>
      </c>
      <c r="P35" s="1885"/>
      <c r="V35" s="1885"/>
    </row>
    <row r="36" spans="1:26" ht="16.5" customHeight="1">
      <c r="A36" s="301" t="s">
        <v>344</v>
      </c>
      <c r="B36" s="302" t="s">
        <v>333</v>
      </c>
      <c r="C36" s="303" t="s">
        <v>345</v>
      </c>
      <c r="D36" s="303" t="s">
        <v>346</v>
      </c>
      <c r="E36" s="304" t="s">
        <v>347</v>
      </c>
      <c r="F36" s="309"/>
      <c r="G36" s="309"/>
      <c r="H36" s="309"/>
      <c r="I36" s="309"/>
      <c r="J36" s="1887"/>
      <c r="K36" s="3429"/>
      <c r="L36" s="3429"/>
      <c r="M36" s="1203" t="s">
        <v>355</v>
      </c>
      <c r="N36" s="3429"/>
      <c r="O36" s="3429"/>
      <c r="P36" s="1885"/>
      <c r="V36" s="1885"/>
    </row>
    <row r="37" spans="1:26" ht="16.5" customHeight="1" thickBot="1">
      <c r="A37" s="1197" t="s">
        <v>348</v>
      </c>
      <c r="B37" s="305"/>
      <c r="C37" s="292"/>
      <c r="D37" s="292"/>
      <c r="E37" s="293"/>
      <c r="F37" s="309"/>
      <c r="G37" s="309"/>
      <c r="H37" s="309"/>
      <c r="I37" s="309"/>
      <c r="J37" s="1887"/>
      <c r="K37" s="3430"/>
      <c r="L37" s="3430"/>
      <c r="M37" s="1204"/>
      <c r="N37" s="3430"/>
      <c r="O37" s="3430"/>
      <c r="P37" s="1885"/>
      <c r="V37" s="1885"/>
    </row>
    <row r="38" spans="1:26" ht="16.5" customHeight="1" thickBot="1">
      <c r="A38" s="1197" t="s">
        <v>349</v>
      </c>
      <c r="B38" s="305"/>
      <c r="C38" s="292"/>
      <c r="D38" s="292"/>
      <c r="E38" s="293"/>
      <c r="F38" s="309"/>
      <c r="G38" s="309"/>
      <c r="H38" s="309"/>
      <c r="I38" s="309"/>
      <c r="J38" s="1887"/>
      <c r="K38" s="1205">
        <f>'数据-汇总表'!D3</f>
        <v>34818</v>
      </c>
      <c r="L38" s="1206">
        <f>'数据-汇总表'!E3</f>
        <v>104454</v>
      </c>
      <c r="M38" s="1206">
        <f ca="1">C34</f>
        <v>9707</v>
      </c>
      <c r="N38" s="1206">
        <f ca="1">C33</f>
        <v>3236</v>
      </c>
      <c r="O38" s="1207">
        <f ca="1">C32</f>
        <v>33798</v>
      </c>
      <c r="P38" s="1885"/>
      <c r="V38" s="1885"/>
    </row>
    <row r="39" spans="1:26" ht="16.5" customHeight="1" thickBot="1">
      <c r="A39" s="1202"/>
      <c r="B39" s="306"/>
      <c r="C39" s="307"/>
      <c r="D39" s="307"/>
      <c r="E39" s="308"/>
      <c r="F39" s="309"/>
      <c r="G39" s="309"/>
      <c r="H39" s="309"/>
      <c r="I39" s="309"/>
      <c r="J39" s="1887"/>
      <c r="K39" s="3468" t="str">
        <f>MID(A44,3,LEN(A44)-2)</f>
        <v/>
      </c>
      <c r="L39" s="3469"/>
      <c r="M39" s="3469"/>
      <c r="N39" s="3470"/>
      <c r="O39" s="1316" t="str">
        <f>C44</f>
        <v>——</v>
      </c>
      <c r="P39" s="1885"/>
      <c r="V39" s="1885"/>
    </row>
    <row r="40" spans="1:26" ht="19.5" thickBot="1">
      <c r="A40" s="104" t="s">
        <v>853</v>
      </c>
      <c r="B40" s="309"/>
      <c r="C40" s="309"/>
      <c r="D40" s="309"/>
      <c r="E40" s="309"/>
      <c r="F40" s="309"/>
      <c r="G40" s="309"/>
      <c r="H40" s="309"/>
      <c r="I40" s="309"/>
      <c r="J40" s="1887"/>
      <c r="K40" s="3468" t="str">
        <f t="shared" ref="K40:K41" si="0">MID(A45,3,LEN(A45)-2)</f>
        <v/>
      </c>
      <c r="L40" s="3469"/>
      <c r="M40" s="3469"/>
      <c r="N40" s="3470"/>
      <c r="O40" s="1316" t="str">
        <f>C45</f>
        <v>——</v>
      </c>
      <c r="P40" s="1885"/>
      <c r="V40" s="1885"/>
    </row>
    <row r="41" spans="1:26" ht="16.5" thickBot="1">
      <c r="A41" s="310" t="s">
        <v>356</v>
      </c>
      <c r="B41" s="311"/>
      <c r="C41" s="312" t="s">
        <v>357</v>
      </c>
      <c r="D41" s="313" t="s">
        <v>358</v>
      </c>
      <c r="E41" s="313" t="s">
        <v>359</v>
      </c>
      <c r="F41" s="314" t="s">
        <v>360</v>
      </c>
      <c r="G41" s="309"/>
      <c r="H41" s="309"/>
      <c r="I41" s="309"/>
      <c r="J41" s="1887"/>
      <c r="K41" s="3468" t="str">
        <f t="shared" si="0"/>
        <v/>
      </c>
      <c r="L41" s="3469"/>
      <c r="M41" s="3469"/>
      <c r="N41" s="3470"/>
      <c r="O41" s="1316" t="str">
        <f>C46</f>
        <v>——</v>
      </c>
      <c r="P41" s="1885"/>
      <c r="V41" s="1885"/>
    </row>
    <row r="42" spans="1:26" ht="29.25">
      <c r="A42" s="3412" t="s">
        <v>2041</v>
      </c>
      <c r="B42" s="3413"/>
      <c r="C42" s="262">
        <f ca="1">C32</f>
        <v>33798</v>
      </c>
      <c r="D42" s="315">
        <f ca="1">C33</f>
        <v>3236</v>
      </c>
      <c r="E42" s="315">
        <f ca="1">C34</f>
        <v>9707</v>
      </c>
      <c r="F42" s="316">
        <f ca="1">C35</f>
        <v>647</v>
      </c>
      <c r="G42" s="309"/>
      <c r="H42" s="309"/>
      <c r="I42" s="317"/>
      <c r="J42" s="1887"/>
      <c r="K42" s="1208" t="s">
        <v>361</v>
      </c>
      <c r="L42" s="1904" t="s">
        <v>362</v>
      </c>
      <c r="M42" s="1209" t="s">
        <v>363</v>
      </c>
      <c r="N42" s="1905" t="s">
        <v>364</v>
      </c>
      <c r="O42" s="1906" t="s">
        <v>365</v>
      </c>
      <c r="P42" s="1885"/>
      <c r="V42" s="1885"/>
    </row>
    <row r="43" spans="1:26" ht="30">
      <c r="A43" s="3423" t="s">
        <v>2689</v>
      </c>
      <c r="B43" s="3424"/>
      <c r="C43" s="262">
        <f>IF(H33="正常操作",G33+G34+G35,G34+G35)</f>
        <v>0</v>
      </c>
      <c r="D43" s="315" t="s">
        <v>43</v>
      </c>
      <c r="E43" s="315" t="s">
        <v>44</v>
      </c>
      <c r="F43" s="316" t="s">
        <v>44</v>
      </c>
      <c r="G43" s="2554" t="s">
        <v>932</v>
      </c>
      <c r="H43" s="309"/>
      <c r="I43" s="317"/>
      <c r="J43" s="1887"/>
      <c r="K43" s="1210" t="str">
        <f>C4</f>
        <v>比较法-住宅、综合</v>
      </c>
      <c r="L43" s="1211">
        <f ca="1">IF(L42="估价结果/万元",C19,C20)</f>
        <v>32951</v>
      </c>
      <c r="M43" s="1212">
        <f>C18</f>
        <v>0.5</v>
      </c>
      <c r="N43" s="1213">
        <f ca="1">IF(N42="测算结果/万元",G19,G20)</f>
        <v>33798</v>
      </c>
      <c r="O43" s="1214">
        <f ca="1">IF(O42="最终结果/万元",C32,C33)</f>
        <v>33798</v>
      </c>
      <c r="P43" s="1885"/>
      <c r="V43" s="1885"/>
    </row>
    <row r="44" spans="1:26" ht="30.75" thickBot="1">
      <c r="A44" s="3412" t="str">
        <f>IF(OR(项目基本情况!E8="抵押价格",项目基本情况!E8="已注销及未注销"),"3.抵押价格","——")</f>
        <v>——</v>
      </c>
      <c r="B44" s="3413"/>
      <c r="C44" s="262" t="str">
        <f>IF(A44="——","——",C42-C43)</f>
        <v>——</v>
      </c>
      <c r="D44" s="315" t="e">
        <f>ROUND(C44*10000/'数据-汇总表'!E3,0)</f>
        <v>#VALUE!</v>
      </c>
      <c r="E44" s="315" t="e">
        <f>ROUND(C44*10000/'数据-汇总表'!D3,0)</f>
        <v>#VALUE!</v>
      </c>
      <c r="F44" s="316" t="e">
        <f>ROUND(C44/('数据-汇总表'!D3/666.67),0)</f>
        <v>#VALUE!</v>
      </c>
      <c r="G44" s="309"/>
      <c r="H44" s="309"/>
      <c r="I44" s="317"/>
      <c r="J44" s="1887"/>
      <c r="K44" s="1215" t="str">
        <f>D4</f>
        <v>剩余法-待开发</v>
      </c>
      <c r="L44" s="1216">
        <f ca="1">IF(L42="估价结果/万元",D19,D20)</f>
        <v>34644</v>
      </c>
      <c r="M44" s="1217">
        <f>D18</f>
        <v>0.5</v>
      </c>
      <c r="N44" s="1218"/>
      <c r="O44" s="1219"/>
      <c r="P44" s="1885"/>
      <c r="V44" s="1885"/>
    </row>
    <row r="45" spans="1:26" ht="15">
      <c r="A45" s="3418" t="str">
        <f>IF(项目基本情况!E8="已注销及未注销","4.抵押担保权已注销时的抵押价格",IF(项目基本情况!E8="已注销","3.抵押担保权已注销时的抵押价格","——"))</f>
        <v>——</v>
      </c>
      <c r="B45" s="3419"/>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414" t="str">
        <f>IF(项目基本情况!E9="抵押净值",IF(A45="——","4.抵押净值","5.抵押净值"),"——")</f>
        <v>——</v>
      </c>
      <c r="B46" s="3415"/>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462" t="s">
        <v>374</v>
      </c>
      <c r="B63" s="3463"/>
      <c r="C63" s="3464"/>
      <c r="D63" s="339">
        <f ca="1">ROUND(C42*F63,0)</f>
        <v>33798</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420" t="s">
        <v>378</v>
      </c>
      <c r="B64" s="3421"/>
      <c r="C64" s="3421"/>
      <c r="D64" s="3421"/>
      <c r="E64" s="3421"/>
      <c r="F64" s="3421"/>
      <c r="G64" s="3422"/>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416" t="s">
        <v>386</v>
      </c>
      <c r="B66" s="3417"/>
      <c r="C66" s="3417"/>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477" t="s">
        <v>385</v>
      </c>
      <c r="M66" s="3478"/>
      <c r="N66" s="2286"/>
      <c r="O66" s="2287"/>
      <c r="P66" s="2288"/>
      <c r="Q66" s="1885"/>
      <c r="R66" s="1885"/>
      <c r="S66" s="1885"/>
      <c r="T66" s="1885"/>
      <c r="U66" s="1885"/>
      <c r="V66" s="1885"/>
    </row>
    <row r="67" spans="1:22" ht="25.5" customHeight="1">
      <c r="A67" s="350" t="s">
        <v>389</v>
      </c>
      <c r="B67" s="3407" t="s">
        <v>390</v>
      </c>
      <c r="C67" s="3407"/>
      <c r="D67" s="351">
        <v>0</v>
      </c>
      <c r="E67" s="41" t="s">
        <v>391</v>
      </c>
      <c r="F67" s="62" t="s">
        <v>21</v>
      </c>
      <c r="G67" s="3465"/>
      <c r="H67" s="2974" t="s">
        <v>2942</v>
      </c>
      <c r="I67" s="2976"/>
      <c r="J67" s="1892"/>
      <c r="K67" s="1864">
        <v>2</v>
      </c>
      <c r="L67" s="3471" t="s">
        <v>388</v>
      </c>
      <c r="M67" s="3471"/>
      <c r="N67" s="1262">
        <f>'数据-取费表'!B2</f>
        <v>44574</v>
      </c>
      <c r="O67" s="1262"/>
      <c r="P67" s="1262"/>
      <c r="Q67" s="1885"/>
      <c r="R67" s="1885"/>
      <c r="S67" s="1885"/>
      <c r="T67" s="1885"/>
      <c r="U67" s="1885"/>
      <c r="V67" s="1885"/>
    </row>
    <row r="68" spans="1:22" ht="25.5" customHeight="1">
      <c r="A68" s="352"/>
      <c r="B68" s="3407" t="s">
        <v>393</v>
      </c>
      <c r="C68" s="3407"/>
      <c r="D68" s="353"/>
      <c r="E68" s="77"/>
      <c r="F68" s="354"/>
      <c r="G68" s="3466"/>
      <c r="H68" s="2975" t="s">
        <v>2943</v>
      </c>
      <c r="I68" s="2976"/>
      <c r="J68" s="1892"/>
      <c r="K68" s="1864">
        <v>3</v>
      </c>
      <c r="L68" s="3471" t="s">
        <v>392</v>
      </c>
      <c r="M68" s="3471"/>
      <c r="N68" s="1230">
        <f ca="1">C42</f>
        <v>33798</v>
      </c>
      <c r="O68" s="1230"/>
      <c r="P68" s="1230"/>
      <c r="Q68" s="1885"/>
      <c r="R68" s="1885"/>
      <c r="S68" s="1885"/>
      <c r="T68" s="1885"/>
      <c r="U68" s="1885"/>
      <c r="V68" s="1885"/>
    </row>
    <row r="69" spans="1:22" ht="23.45" customHeight="1">
      <c r="A69" s="355"/>
      <c r="B69" s="3407" t="s">
        <v>394</v>
      </c>
      <c r="C69" s="3407"/>
      <c r="D69" s="356"/>
      <c r="E69" s="73"/>
      <c r="F69" s="354"/>
      <c r="G69" s="3467"/>
      <c r="H69" s="2975" t="s">
        <v>2944</v>
      </c>
      <c r="I69" s="2976"/>
      <c r="J69" s="1892"/>
      <c r="K69" s="1231">
        <v>4</v>
      </c>
      <c r="L69" s="3481" t="s">
        <v>2839</v>
      </c>
      <c r="M69" s="3482"/>
      <c r="N69" s="1232" t="str">
        <f>C44</f>
        <v>——</v>
      </c>
      <c r="O69" s="1232"/>
      <c r="P69" s="1232"/>
      <c r="Q69" s="1885"/>
      <c r="R69" s="1885"/>
      <c r="S69" s="1885"/>
      <c r="T69" s="1885"/>
      <c r="U69" s="1885"/>
      <c r="V69" s="1885"/>
    </row>
    <row r="70" spans="1:22" ht="24" customHeight="1">
      <c r="A70" s="357" t="s">
        <v>395</v>
      </c>
      <c r="B70" s="3407" t="s">
        <v>396</v>
      </c>
      <c r="C70" s="3407"/>
      <c r="D70" s="356">
        <f ca="1">ROUND(D63*'数据-取费表'!B41/(1+'数据-取费表'!C42),0)</f>
        <v>1770</v>
      </c>
      <c r="E70" s="17" t="s">
        <v>397</v>
      </c>
      <c r="F70" s="358">
        <f>'数据-取费表'!B41</f>
        <v>5.5000000000000007E-2</v>
      </c>
      <c r="G70" s="359"/>
      <c r="H70" s="309"/>
      <c r="I70" s="1229"/>
      <c r="J70" s="1892"/>
      <c r="K70" s="2733"/>
      <c r="L70" s="2734"/>
      <c r="M70" s="2734"/>
      <c r="N70" s="2735" t="s">
        <v>2843</v>
      </c>
      <c r="O70" s="2734"/>
      <c r="P70" s="2736"/>
      <c r="Q70" s="1885"/>
      <c r="R70" s="1885"/>
      <c r="S70" s="1885"/>
      <c r="T70" s="1885"/>
      <c r="U70" s="1885"/>
      <c r="V70" s="1885"/>
    </row>
    <row r="71" spans="1:22" ht="12" customHeight="1">
      <c r="A71" s="357" t="s">
        <v>403</v>
      </c>
      <c r="B71" s="3408" t="s">
        <v>2973</v>
      </c>
      <c r="C71" s="3409"/>
      <c r="D71" s="356">
        <f ca="1">ROUND(D63*'数据-取费表'!B41/(1+'数据-取费表'!C42),0)</f>
        <v>1770</v>
      </c>
      <c r="E71" s="17" t="s">
        <v>397</v>
      </c>
      <c r="F71" s="358">
        <f>'数据-取费表'!B41</f>
        <v>5.5000000000000007E-2</v>
      </c>
      <c r="G71" s="359"/>
      <c r="H71" s="309"/>
      <c r="I71" s="1229"/>
      <c r="J71" s="1892"/>
      <c r="K71" s="2732" t="s">
        <v>398</v>
      </c>
      <c r="L71" s="3483" t="s">
        <v>399</v>
      </c>
      <c r="M71" s="3483"/>
      <c r="N71" s="2732" t="s">
        <v>400</v>
      </c>
      <c r="O71" s="2732" t="s">
        <v>401</v>
      </c>
      <c r="P71" s="2732" t="s">
        <v>402</v>
      </c>
      <c r="Q71" s="1885"/>
      <c r="R71" s="1885"/>
      <c r="S71" s="1885"/>
      <c r="T71" s="1885"/>
      <c r="U71" s="1885"/>
      <c r="V71" s="1885"/>
    </row>
    <row r="72" spans="1:22" ht="12" customHeight="1">
      <c r="A72" s="357" t="s">
        <v>405</v>
      </c>
      <c r="B72" s="3408" t="s">
        <v>2974</v>
      </c>
      <c r="C72" s="3409"/>
      <c r="D72" s="356">
        <f ca="1">C86</f>
        <v>1770</v>
      </c>
      <c r="E72" s="73" t="s">
        <v>406</v>
      </c>
      <c r="F72" s="358">
        <f>'数据-取费表'!B41</f>
        <v>5.5000000000000007E-2</v>
      </c>
      <c r="G72" s="359"/>
      <c r="H72" s="1235"/>
      <c r="I72" s="1229"/>
      <c r="J72" s="1892"/>
      <c r="K72" s="1864">
        <v>1</v>
      </c>
      <c r="L72" s="3458" t="s">
        <v>404</v>
      </c>
      <c r="M72" s="3458"/>
      <c r="N72" s="1233" t="b">
        <f>D66</f>
        <v>0</v>
      </c>
      <c r="O72" s="1748" t="str">
        <f>E66</f>
        <v>销售额×税（费）率</v>
      </c>
      <c r="P72" s="1234">
        <f>F66</f>
        <v>5.5000000000000007E-2</v>
      </c>
      <c r="Q72" s="1885"/>
      <c r="R72" s="1885"/>
      <c r="S72" s="1885"/>
      <c r="T72" s="1885"/>
      <c r="U72" s="1885"/>
      <c r="V72" s="1885"/>
    </row>
    <row r="73" spans="1:22" ht="24" customHeight="1">
      <c r="A73" s="3453" t="s">
        <v>408</v>
      </c>
      <c r="B73" s="3417"/>
      <c r="C73" s="3417"/>
      <c r="D73" s="360">
        <f ca="1">IF(H73="个人住宅",0,ROUND(D63*I73,0))</f>
        <v>17</v>
      </c>
      <c r="E73" s="17" t="s">
        <v>409</v>
      </c>
      <c r="F73" s="358" t="str">
        <f>IF(H73="正常",I73,"免征")</f>
        <v>免征</v>
      </c>
      <c r="G73" s="359"/>
      <c r="H73" s="189"/>
      <c r="I73" s="358">
        <f>'数据-取费表'!B49</f>
        <v>5.0000000000000001E-4</v>
      </c>
      <c r="J73" s="1892"/>
      <c r="K73" s="1864">
        <v>2</v>
      </c>
      <c r="L73" s="3458" t="s">
        <v>407</v>
      </c>
      <c r="M73" s="3458"/>
      <c r="N73" s="1233">
        <f t="shared" ref="N73:P74" ca="1" si="1">D73</f>
        <v>17</v>
      </c>
      <c r="O73" s="1748" t="str">
        <f t="shared" si="1"/>
        <v>销售额×税（费）率</v>
      </c>
      <c r="P73" s="1234" t="str">
        <f t="shared" si="1"/>
        <v>免征</v>
      </c>
      <c r="Q73" s="1885"/>
      <c r="R73" s="1885"/>
      <c r="S73" s="1885"/>
      <c r="T73" s="1885"/>
      <c r="U73" s="1885"/>
      <c r="V73" s="1885"/>
    </row>
    <row r="74" spans="1:22" ht="24.75">
      <c r="A74" s="3453" t="s">
        <v>411</v>
      </c>
      <c r="B74" s="3417"/>
      <c r="C74" s="3417"/>
      <c r="D74" s="360">
        <f ca="1">IF(H74="个人住宅",D75,D76)</f>
        <v>19160</v>
      </c>
      <c r="E74" s="17" t="s">
        <v>412</v>
      </c>
      <c r="F74" s="358" t="str">
        <f>IF(H74="正常",F76,"免征")</f>
        <v>免征</v>
      </c>
      <c r="G74" s="954" t="s">
        <v>413</v>
      </c>
      <c r="H74" s="361"/>
      <c r="I74" s="42"/>
      <c r="J74" s="1892"/>
      <c r="K74" s="1864">
        <v>3</v>
      </c>
      <c r="L74" s="3458" t="s">
        <v>410</v>
      </c>
      <c r="M74" s="3458"/>
      <c r="N74" s="1233">
        <f t="shared" ca="1" si="1"/>
        <v>19160</v>
      </c>
      <c r="O74" s="1748" t="str">
        <f t="shared" si="1"/>
        <v>增值额×税（费）率</v>
      </c>
      <c r="P74" s="1236" t="str">
        <f t="shared" si="1"/>
        <v>免征</v>
      </c>
      <c r="Q74" s="1885"/>
      <c r="R74" s="1885"/>
      <c r="S74" s="1885"/>
      <c r="T74" s="1885"/>
      <c r="U74" s="1885"/>
      <c r="V74" s="1885"/>
    </row>
    <row r="75" spans="1:22" ht="12.75">
      <c r="A75" s="357" t="s">
        <v>414</v>
      </c>
      <c r="B75" s="3405" t="s">
        <v>415</v>
      </c>
      <c r="C75" s="3441"/>
      <c r="D75" s="362">
        <v>0</v>
      </c>
      <c r="E75" s="41" t="s">
        <v>416</v>
      </c>
      <c r="F75" s="363"/>
      <c r="G75" s="359"/>
      <c r="H75" s="42"/>
      <c r="I75" s="42"/>
      <c r="J75" s="1892"/>
      <c r="K75" s="2726">
        <f>IF(H77="非个人房产","",4)</f>
        <v>4</v>
      </c>
      <c r="L75" s="3458" t="str">
        <f>IF(H77="非个人房产","——","个人所得税")</f>
        <v>个人所得税</v>
      </c>
      <c r="M75" s="3458"/>
      <c r="N75" s="1237">
        <f>D77</f>
        <v>0</v>
      </c>
      <c r="O75" s="1761" t="str">
        <f>E77</f>
        <v>差额计税</v>
      </c>
      <c r="P75" s="1238">
        <f>F77</f>
        <v>0.01</v>
      </c>
      <c r="Q75" s="1885"/>
      <c r="R75" s="1885"/>
      <c r="S75" s="1885"/>
      <c r="T75" s="1885"/>
      <c r="U75" s="1885"/>
      <c r="V75" s="1885"/>
    </row>
    <row r="76" spans="1:22" ht="24.75">
      <c r="A76" s="357" t="s">
        <v>395</v>
      </c>
      <c r="B76" s="3405" t="s">
        <v>418</v>
      </c>
      <c r="C76" s="3406"/>
      <c r="D76" s="360">
        <f ca="1">IF(H76="转让取得",C99,C115)</f>
        <v>19160</v>
      </c>
      <c r="E76" s="17" t="s">
        <v>419</v>
      </c>
      <c r="F76" s="53" t="s">
        <v>21</v>
      </c>
      <c r="G76" s="359"/>
      <c r="H76" s="361"/>
      <c r="I76" s="42"/>
      <c r="J76" s="1892"/>
      <c r="K76" s="2726" t="str">
        <f>IF(项目基本情况!K6="上海银行",IF(K75="",4,K75+1),"")</f>
        <v/>
      </c>
      <c r="L76" s="3473" t="str">
        <f>IF(项目基本情况!K6="上海银行","其他处置费用","")</f>
        <v/>
      </c>
      <c r="M76" s="3474"/>
      <c r="N76" s="1233" t="str">
        <f>IF(项目基本情况!K6="上海银行",N89,"")</f>
        <v/>
      </c>
      <c r="O76" s="3475" t="str">
        <f>IF(项目基本情况!K6="上海银行","包含处置中涉及的律师、诉讼、拍卖、评估等费用","")</f>
        <v/>
      </c>
      <c r="P76" s="3476"/>
      <c r="Q76" s="1885"/>
      <c r="R76" s="1885"/>
      <c r="S76" s="1885"/>
      <c r="T76" s="1885"/>
      <c r="U76" s="1885"/>
      <c r="V76" s="1885"/>
    </row>
    <row r="77" spans="1:22" ht="24.75" thickBot="1">
      <c r="A77" s="3460" t="s">
        <v>421</v>
      </c>
      <c r="B77" s="3461"/>
      <c r="C77" s="3461"/>
      <c r="D77" s="2979">
        <f>IF(H77="非个人房产","——",IF(H77="个人住宅（满五唯一有凭证）",0,IF(H77="个人其他（无凭证）",ROUND(D63*F77,0),ROUND(C84*F77,0))))</f>
        <v>0</v>
      </c>
      <c r="E77" s="2980" t="str">
        <f>IF(H77="非个人房产","——",IF(H77="个人其他（无凭证）","销售额×税（费）率",IF(H77="个人住宅（满五唯一有凭证）","免征","差额计税")))</f>
        <v>差额计税</v>
      </c>
      <c r="F77" s="2981">
        <f>IF(OR(H77="非个人房产",H77="个人住宅（满五唯一有凭证）"),"——",IF(H77="个人其他（有凭证）",20%,1%))</f>
        <v>0.01</v>
      </c>
      <c r="G77" s="955" t="s">
        <v>413</v>
      </c>
      <c r="H77" s="2978"/>
      <c r="I77" s="2977" t="s">
        <v>2945</v>
      </c>
      <c r="J77" s="1892"/>
      <c r="K77" s="3459">
        <f>IF(AND(K75="",K76=""),4,IF(项目基本情况!K6="上海银行",K76+1,K75+1))</f>
        <v>5</v>
      </c>
      <c r="L77" s="3458" t="s">
        <v>2840</v>
      </c>
      <c r="M77" s="2731" t="s">
        <v>417</v>
      </c>
      <c r="N77" s="1239"/>
      <c r="O77" s="1240">
        <f ca="1">SUMIF(N72:N76,"&lt;9e307")</f>
        <v>19177</v>
      </c>
      <c r="P77" s="1241"/>
      <c r="Q77" s="2729" t="e">
        <f ca="1">O77/N69</f>
        <v>#VALUE!</v>
      </c>
      <c r="R77" s="1885"/>
      <c r="S77" s="1885"/>
      <c r="T77" s="1885"/>
      <c r="U77" s="1885"/>
      <c r="V77" s="1885"/>
    </row>
    <row r="78" spans="1:22" ht="12" customHeight="1">
      <c r="A78" s="1242"/>
      <c r="B78" s="309"/>
      <c r="C78" s="309"/>
      <c r="D78" s="309"/>
      <c r="E78" s="42"/>
      <c r="F78" s="42"/>
      <c r="G78" s="42"/>
      <c r="H78" s="974"/>
      <c r="I78" s="309"/>
      <c r="J78" s="1892"/>
      <c r="K78" s="3459"/>
      <c r="L78" s="3458"/>
      <c r="M78" s="2731" t="s">
        <v>420</v>
      </c>
      <c r="N78" s="1239"/>
      <c r="O78" s="1240" t="str">
        <f ca="1">NUMBERSTRING(INT(O77*10000),2)&amp;"元整"</f>
        <v>壹亿玖仟壹佰柒拾柒万元整</v>
      </c>
      <c r="P78" s="1241"/>
      <c r="Q78" s="1885"/>
      <c r="R78" s="1885"/>
      <c r="S78" s="1885"/>
      <c r="T78" s="1885"/>
      <c r="U78" s="1885"/>
      <c r="V78" s="1885"/>
    </row>
    <row r="79" spans="1:22" ht="13.5" thickBot="1">
      <c r="A79" s="3425" t="s">
        <v>422</v>
      </c>
      <c r="B79" s="3425"/>
      <c r="C79" s="3425"/>
      <c r="D79" s="3425"/>
      <c r="E79" s="3425"/>
      <c r="F79" s="42"/>
      <c r="G79" s="42"/>
      <c r="H79" s="974"/>
      <c r="I79" s="309"/>
      <c r="J79" s="1892"/>
      <c r="K79" s="3479">
        <f>K77+1</f>
        <v>6</v>
      </c>
      <c r="L79" s="3458" t="s">
        <v>2841</v>
      </c>
      <c r="M79" s="2731" t="s">
        <v>417</v>
      </c>
      <c r="N79" s="1239"/>
      <c r="O79" s="1240" t="e">
        <f ca="1">N69-O77</f>
        <v>#VALUE!</v>
      </c>
      <c r="P79" s="1241"/>
      <c r="Q79" s="1885"/>
      <c r="R79" s="1885"/>
      <c r="S79" s="1885"/>
      <c r="T79" s="1885"/>
      <c r="U79" s="1885"/>
      <c r="V79" s="1885"/>
    </row>
    <row r="80" spans="1:22" ht="12.75">
      <c r="A80" s="3426" t="s">
        <v>423</v>
      </c>
      <c r="B80" s="3427"/>
      <c r="C80" s="965"/>
      <c r="D80" s="965" t="s">
        <v>424</v>
      </c>
      <c r="E80" s="364" t="s">
        <v>425</v>
      </c>
      <c r="F80" s="42"/>
      <c r="G80" s="42"/>
      <c r="H80" s="974"/>
      <c r="I80" s="309"/>
      <c r="J80" s="1885"/>
      <c r="K80" s="3480"/>
      <c r="L80" s="3458"/>
      <c r="M80" s="2731" t="s">
        <v>420</v>
      </c>
      <c r="N80" s="1239"/>
      <c r="O80" s="1240" t="e">
        <f ca="1">NUMBERSTRING(INT(O79*10000),2)&amp;"元整"</f>
        <v>#VALUE!</v>
      </c>
      <c r="P80" s="1241"/>
      <c r="Q80" s="1885"/>
      <c r="R80" s="1885"/>
      <c r="S80" s="1885"/>
      <c r="T80" s="1885"/>
      <c r="U80" s="1885"/>
      <c r="V80" s="1885"/>
    </row>
    <row r="81" spans="1:26" ht="13.5" thickBot="1">
      <c r="A81" s="375" t="s">
        <v>1803</v>
      </c>
      <c r="B81" s="365" t="s">
        <v>426</v>
      </c>
      <c r="C81" s="366">
        <f ca="1">ROUND((C82+C83)/(1+'数据-取费表'!C42),0)</f>
        <v>32189</v>
      </c>
      <c r="D81" s="367"/>
      <c r="E81" s="368"/>
      <c r="F81" s="42"/>
      <c r="G81" s="42"/>
      <c r="H81" s="974"/>
      <c r="I81" s="309"/>
      <c r="J81" s="1885"/>
      <c r="K81" s="2726">
        <f>K79+1</f>
        <v>7</v>
      </c>
      <c r="L81" s="3456" t="s">
        <v>2842</v>
      </c>
      <c r="M81" s="3457"/>
      <c r="N81" s="1243"/>
      <c r="O81" s="1244" t="e">
        <f ca="1">ROUND(O79*10000/'数据-汇总表'!E3,0)</f>
        <v>#VALUE!</v>
      </c>
      <c r="P81" s="1245"/>
      <c r="Q81" s="1885"/>
      <c r="R81" s="1885"/>
      <c r="S81" s="1885"/>
      <c r="T81" s="1885"/>
      <c r="U81" s="1885"/>
      <c r="V81" s="1885"/>
    </row>
    <row r="82" spans="1:26" ht="13.5" thickTop="1">
      <c r="A82" s="369" t="s">
        <v>1804</v>
      </c>
      <c r="B82" s="370" t="s">
        <v>427</v>
      </c>
      <c r="C82" s="371">
        <f ca="1">D63</f>
        <v>33798</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472" t="s">
        <v>2830</v>
      </c>
      <c r="L83" s="2737" t="s">
        <v>2831</v>
      </c>
      <c r="M83" s="2727" t="e">
        <f>IF(N69&gt;10000,N69*0.5%,IF(AND(N69&gt;1000,N69&lt;=10000),N69*1%,IF(AND(N69&gt;100,N69&lt;=1000),N69*3%,IF(AND(N69&gt;10,N69&lt;=100),N69*5%,N69*8%))))</f>
        <v>#VALUE!</v>
      </c>
      <c r="N83" s="53" t="e">
        <f>ROUND(M83,1)</f>
        <v>#VALUE!</v>
      </c>
      <c r="O83" s="2730"/>
      <c r="P83" s="1885"/>
      <c r="Q83" s="1885"/>
      <c r="R83" s="1885"/>
      <c r="S83" s="1885"/>
      <c r="T83" s="1885"/>
      <c r="U83" s="1885"/>
      <c r="V83" s="1885"/>
    </row>
    <row r="84" spans="1:26" ht="12.75">
      <c r="A84" s="375" t="s">
        <v>1806</v>
      </c>
      <c r="B84" s="376" t="s">
        <v>429</v>
      </c>
      <c r="C84" s="377"/>
      <c r="D84" s="378" t="s">
        <v>19</v>
      </c>
      <c r="E84" s="2755" t="s">
        <v>2884</v>
      </c>
      <c r="F84" s="42"/>
      <c r="G84" s="42"/>
      <c r="H84" s="974"/>
      <c r="I84" s="309"/>
      <c r="J84" s="1885"/>
      <c r="K84" s="3472"/>
      <c r="L84" s="2737" t="s">
        <v>2832</v>
      </c>
      <c r="M84" s="272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5" t="s">
        <v>2833</v>
      </c>
      <c r="P84" s="1885"/>
      <c r="Q84" s="1885"/>
      <c r="R84" s="1885"/>
      <c r="S84" s="1885"/>
      <c r="T84" s="1885"/>
      <c r="U84" s="1885"/>
      <c r="V84" s="1885"/>
    </row>
    <row r="85" spans="1:26" ht="12.75">
      <c r="A85" s="375" t="s">
        <v>1807</v>
      </c>
      <c r="B85" s="376" t="s">
        <v>430</v>
      </c>
      <c r="C85" s="379">
        <f ca="1">C81-C84</f>
        <v>32189</v>
      </c>
      <c r="D85" s="372" t="s">
        <v>19</v>
      </c>
      <c r="E85" s="373"/>
      <c r="F85" s="42"/>
      <c r="G85" s="42"/>
      <c r="H85" s="974"/>
      <c r="I85" s="309"/>
      <c r="J85" s="1885"/>
      <c r="K85" s="3472"/>
      <c r="L85" s="2737" t="s">
        <v>2834</v>
      </c>
      <c r="M85" s="2727" t="e">
        <f>IF(N69&gt;1000,N69*0.1%,IF(AND(N69&gt;500,N69&lt;=1000),N69*0.5%,IF(AND(N69&gt;50,N69&lt;=500),N69*1%,IF(AND(N69&gt;1,N69&lt;=50),N69*1.5%))))</f>
        <v>#VALUE!</v>
      </c>
      <c r="N85" s="53" t="e">
        <f t="shared" si="2"/>
        <v>#VALUE!</v>
      </c>
      <c r="O85" s="1885" t="s">
        <v>2833</v>
      </c>
      <c r="P85" s="1885"/>
      <c r="Q85" s="1885"/>
      <c r="R85" s="1885"/>
      <c r="S85" s="1885"/>
      <c r="T85" s="1885"/>
      <c r="U85" s="1885"/>
      <c r="V85" s="1885"/>
    </row>
    <row r="86" spans="1:26" ht="13.5" thickBot="1">
      <c r="A86" s="380" t="s">
        <v>1808</v>
      </c>
      <c r="B86" s="381" t="s">
        <v>431</v>
      </c>
      <c r="C86" s="382">
        <f ca="1">IF(C85&lt;=0,0,ROUND(C85*D86,0))</f>
        <v>1770</v>
      </c>
      <c r="D86" s="383">
        <f>'数据-取费表'!B41</f>
        <v>5.5000000000000007E-2</v>
      </c>
      <c r="E86" s="384"/>
      <c r="F86" s="42"/>
      <c r="G86" s="42"/>
      <c r="H86" s="974"/>
      <c r="I86" s="309"/>
      <c r="J86" s="1885"/>
      <c r="K86" s="3472"/>
      <c r="L86" s="2737" t="s">
        <v>2835</v>
      </c>
      <c r="M86" s="2727" t="e">
        <f>N69*0.5%</f>
        <v>#VALUE!</v>
      </c>
      <c r="N86" s="53" t="e">
        <f>IF(M86&gt;0.5,0.5,ROUND(M86,0))</f>
        <v>#VALUE!</v>
      </c>
      <c r="O86" s="1885" t="s">
        <v>2836</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472"/>
      <c r="L87" s="2737" t="s">
        <v>2837</v>
      </c>
      <c r="M87" s="272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30"/>
      <c r="P87" s="1885"/>
      <c r="Q87" s="1885"/>
      <c r="R87" s="1885"/>
      <c r="S87" s="1885"/>
      <c r="T87" s="1885"/>
      <c r="U87" s="1885"/>
      <c r="V87" s="1885"/>
      <c r="W87" s="290"/>
      <c r="X87" s="290"/>
      <c r="Y87" s="290"/>
      <c r="Z87" s="290"/>
    </row>
    <row r="88" spans="1:26" s="1251" customFormat="1" ht="15" thickBot="1">
      <c r="A88" s="3451" t="s">
        <v>432</v>
      </c>
      <c r="B88" s="3452"/>
      <c r="C88" s="3452"/>
      <c r="D88" s="3452"/>
      <c r="E88" s="3452"/>
      <c r="F88" s="3452"/>
      <c r="G88" s="3452"/>
      <c r="H88" s="3452"/>
      <c r="I88" s="1252"/>
      <c r="J88" s="1893"/>
      <c r="K88" s="3472"/>
      <c r="L88" s="2737" t="s">
        <v>2838</v>
      </c>
      <c r="M88" s="2727" t="e">
        <f>IF(N69&gt;10000,N69*0.5%,IF(AND(N69&gt;5000,N69&lt;=10000),N69*1%,IF(AND(N69&gt;1000,N69&lt;=5000),N69*2%,IF(AND(N69&gt;200,N69&lt;=1000),N69*3%,N69*5%))))</f>
        <v>#VALUE!</v>
      </c>
      <c r="N88" s="53" t="e">
        <f>ROUND(M88,1)</f>
        <v>#VALUE!</v>
      </c>
      <c r="O88" s="2730"/>
      <c r="P88" s="1890"/>
      <c r="Q88" s="1890"/>
      <c r="R88" s="1890"/>
      <c r="S88" s="1890"/>
      <c r="T88" s="1890"/>
      <c r="U88" s="1890"/>
      <c r="V88" s="1890"/>
      <c r="W88" s="1894"/>
      <c r="X88" s="1894"/>
      <c r="Y88" s="1894"/>
      <c r="Z88" s="1894"/>
    </row>
    <row r="89" spans="1:26" s="1251" customFormat="1" ht="14.25">
      <c r="A89" s="3426" t="s">
        <v>423</v>
      </c>
      <c r="B89" s="3427"/>
      <c r="C89" s="965"/>
      <c r="D89" s="965" t="s">
        <v>424</v>
      </c>
      <c r="E89" s="385" t="s">
        <v>433</v>
      </c>
      <c r="F89" s="386"/>
      <c r="G89" s="386"/>
      <c r="H89" s="387"/>
      <c r="I89" s="1253"/>
      <c r="J89" s="1895"/>
      <c r="K89" s="3472"/>
      <c r="L89" s="2737" t="s">
        <v>27</v>
      </c>
      <c r="M89" s="2728"/>
      <c r="N89" s="53" t="e">
        <f>ROUND(SUM(N83:N88),0)</f>
        <v>#VALUE!</v>
      </c>
      <c r="O89" s="2738" t="e">
        <f>N89/N69</f>
        <v>#VALUE!</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32189</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161</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408" t="s">
        <v>441</v>
      </c>
      <c r="F94" s="3407"/>
      <c r="G94" s="3407"/>
      <c r="H94" s="3450"/>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161</v>
      </c>
      <c r="D96" s="400">
        <f>'数据-取费表'!B43</f>
        <v>5.000000000000001E-3</v>
      </c>
      <c r="E96" s="3442" t="s">
        <v>2397</v>
      </c>
      <c r="F96" s="3443"/>
      <c r="G96" s="3443"/>
      <c r="H96" s="3444"/>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32028</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198.93167701863354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19160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451" t="s">
        <v>448</v>
      </c>
      <c r="B101" s="3452"/>
      <c r="C101" s="3452"/>
      <c r="D101" s="3452"/>
      <c r="E101" s="3452"/>
      <c r="F101" s="3452"/>
      <c r="G101" s="3452"/>
      <c r="H101" s="3452"/>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426" t="s">
        <v>423</v>
      </c>
      <c r="B102" s="3427"/>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32189</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161</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212" t="s">
        <v>2966</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402" t="s">
        <v>2937</v>
      </c>
      <c r="H108" s="3403"/>
      <c r="I108" s="2827"/>
      <c r="J108" s="1890"/>
      <c r="K108" s="3212" t="s">
        <v>2967</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445" t="s">
        <v>456</v>
      </c>
      <c r="F109" s="3443"/>
      <c r="G109" s="3443"/>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43">
        <v>0</v>
      </c>
      <c r="E110" s="3445" t="s">
        <v>458</v>
      </c>
      <c r="F110" s="3443"/>
      <c r="G110" s="3443"/>
      <c r="H110" s="3444"/>
      <c r="I110" s="11"/>
      <c r="J110" s="1890"/>
      <c r="K110" s="3213" t="s">
        <v>2968</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161</v>
      </c>
      <c r="D111" s="400">
        <f>'数据-取费表'!B43</f>
        <v>5.000000000000001E-3</v>
      </c>
      <c r="E111" s="3442" t="s">
        <v>2397</v>
      </c>
      <c r="F111" s="3443"/>
      <c r="G111" s="3443"/>
      <c r="H111" s="3444"/>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445" t="s">
        <v>2416</v>
      </c>
      <c r="F112" s="3443"/>
      <c r="G112" s="3443"/>
      <c r="H112" s="3444"/>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32028</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198.93167701863354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19160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5" zoomScaleNormal="95" zoomScaleSheetLayoutView="85" workbookViewId="0">
      <selection activeCell="M59" sqref="M59"/>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78"/>
      <c r="M1" s="3179"/>
      <c r="N1" s="3179"/>
      <c r="O1" s="3179"/>
      <c r="P1" s="1988"/>
      <c r="Q1" s="1988"/>
      <c r="R1" s="1988"/>
      <c r="S1" s="1988"/>
      <c r="T1" s="1988"/>
      <c r="U1" s="1988"/>
      <c r="V1" s="1988"/>
      <c r="W1" s="1988"/>
      <c r="X1" s="1988"/>
      <c r="Y1" s="1988"/>
      <c r="Z1" s="1988"/>
      <c r="AA1" s="1988"/>
      <c r="AB1" s="1988"/>
      <c r="AC1" s="3180"/>
      <c r="AD1" s="1264"/>
    </row>
    <row r="2" spans="1:30" s="1265" customFormat="1" ht="28.5" customHeight="1">
      <c r="A2" s="417" t="s">
        <v>461</v>
      </c>
      <c r="B2" s="485">
        <f>F68</f>
        <v>32951</v>
      </c>
      <c r="C2" s="3188"/>
      <c r="D2" s="3188"/>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c r="AD2" s="1264"/>
    </row>
    <row r="3" spans="1:30" s="1265" customFormat="1" ht="28.5" customHeight="1">
      <c r="A3" s="1306" t="s">
        <v>1664</v>
      </c>
      <c r="B3" s="487">
        <f>ROUND(B2*10000/'数据-汇总表'!E3,0)</f>
        <v>3155</v>
      </c>
      <c r="C3" s="3189"/>
      <c r="D3" s="3193"/>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3181"/>
      <c r="AC3" s="1918"/>
    </row>
    <row r="4" spans="1:30" s="1265" customFormat="1" ht="28.5" customHeight="1">
      <c r="A4" s="488" t="s">
        <v>503</v>
      </c>
      <c r="B4" s="421">
        <f>IF(B48="单位面积地价",C50,ROUND(B2*10000/'数据-汇总表'!D3,0))</f>
        <v>9464</v>
      </c>
      <c r="C4" s="3189"/>
      <c r="D4" s="3193"/>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f>ROUND(B2/('数据-汇总表'!D3/666.67),0)</f>
        <v>631</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493" t="s">
        <v>505</v>
      </c>
      <c r="D6" s="3494"/>
      <c r="E6" s="3493" t="s">
        <v>506</v>
      </c>
      <c r="F6" s="3494"/>
      <c r="G6" s="3493" t="s">
        <v>507</v>
      </c>
      <c r="H6" s="3494"/>
      <c r="I6" s="3493" t="s">
        <v>508</v>
      </c>
      <c r="J6" s="3494"/>
      <c r="K6" s="491" t="s">
        <v>509</v>
      </c>
      <c r="L6" s="1989"/>
      <c r="M6" s="1988"/>
      <c r="N6" s="1988"/>
      <c r="O6" s="1990"/>
      <c r="P6" s="3495" t="s">
        <v>510</v>
      </c>
      <c r="Q6" s="3496"/>
      <c r="R6" s="3501" t="s">
        <v>506</v>
      </c>
      <c r="S6" s="3502"/>
      <c r="T6" s="3501" t="s">
        <v>507</v>
      </c>
      <c r="U6" s="3502"/>
      <c r="V6" s="3488" t="s">
        <v>508</v>
      </c>
      <c r="W6" s="3488"/>
      <c r="X6" s="1477"/>
      <c r="Y6" s="3501" t="s">
        <v>510</v>
      </c>
      <c r="Z6" s="3502"/>
      <c r="AA6" s="3490" t="s">
        <v>506</v>
      </c>
      <c r="AB6" s="3491" t="s">
        <v>507</v>
      </c>
      <c r="AC6" s="3490" t="s">
        <v>508</v>
      </c>
    </row>
    <row r="7" spans="1:30" ht="20.25">
      <c r="A7" s="492"/>
      <c r="B7" s="493"/>
      <c r="C7" s="3509" t="s">
        <v>2873</v>
      </c>
      <c r="D7" s="3510"/>
      <c r="E7" s="3509" t="s">
        <v>2874</v>
      </c>
      <c r="F7" s="3510"/>
      <c r="G7" s="3509" t="s">
        <v>2875</v>
      </c>
      <c r="H7" s="3510"/>
      <c r="I7" s="3509" t="s">
        <v>2876</v>
      </c>
      <c r="J7" s="3510"/>
      <c r="K7" s="491"/>
      <c r="L7" s="1989"/>
      <c r="M7" s="1988"/>
      <c r="N7" s="1988"/>
      <c r="O7" s="1990"/>
      <c r="P7" s="3497"/>
      <c r="Q7" s="3498"/>
      <c r="R7" s="3503"/>
      <c r="S7" s="3504"/>
      <c r="T7" s="3503"/>
      <c r="U7" s="3504"/>
      <c r="V7" s="3488"/>
      <c r="W7" s="3488"/>
      <c r="X7" s="1477"/>
      <c r="Y7" s="3503"/>
      <c r="Z7" s="3504"/>
      <c r="AA7" s="3491"/>
      <c r="AB7" s="3491"/>
      <c r="AC7" s="3491"/>
    </row>
    <row r="8" spans="1:30" ht="21" thickBot="1">
      <c r="A8" s="492"/>
      <c r="B8" s="493"/>
      <c r="C8" s="3511" t="s">
        <v>2877</v>
      </c>
      <c r="D8" s="3512"/>
      <c r="E8" s="3511" t="s">
        <v>2877</v>
      </c>
      <c r="F8" s="3512"/>
      <c r="G8" s="3507" t="s">
        <v>2877</v>
      </c>
      <c r="H8" s="3508"/>
      <c r="I8" s="3507" t="s">
        <v>2877</v>
      </c>
      <c r="J8" s="3508"/>
      <c r="K8" s="491" t="s">
        <v>511</v>
      </c>
      <c r="L8" s="1989"/>
      <c r="M8" s="1988"/>
      <c r="N8" s="1988"/>
      <c r="O8" s="1990"/>
      <c r="P8" s="3499"/>
      <c r="Q8" s="3500"/>
      <c r="R8" s="3503"/>
      <c r="S8" s="3504"/>
      <c r="T8" s="3505"/>
      <c r="U8" s="3506"/>
      <c r="V8" s="3488"/>
      <c r="W8" s="3488"/>
      <c r="X8" s="1477"/>
      <c r="Y8" s="3505"/>
      <c r="Z8" s="3506"/>
      <c r="AA8" s="3492"/>
      <c r="AB8" s="3492"/>
      <c r="AC8" s="3492"/>
    </row>
    <row r="9" spans="1:30" s="1186" customFormat="1" ht="21" thickBot="1">
      <c r="A9" s="2600"/>
      <c r="B9" s="2607" t="s">
        <v>512</v>
      </c>
      <c r="C9" s="2599">
        <f>'数据-取费表'!B2</f>
        <v>44574</v>
      </c>
      <c r="D9" s="497">
        <v>100</v>
      </c>
      <c r="E9" s="498">
        <f>土地案例!AA22</f>
        <v>44133.000497685185</v>
      </c>
      <c r="F9" s="499">
        <f>SUMIF(72:72,YEAR(E9)&amp;"-"&amp;INT((MONTH(E9)+2)/3),73:73)</f>
        <v>98.75</v>
      </c>
      <c r="G9" s="500">
        <f>土地案例!AA36</f>
        <v>44020.000497685185</v>
      </c>
      <c r="H9" s="497">
        <f>SUMIF(72:72,YEAR(G9)&amp;"-"&amp;INT((MONTH(G9)+2)/3),73:73)</f>
        <v>98.5</v>
      </c>
      <c r="I9" s="500">
        <f>土地案例!AA56</f>
        <v>43910.000497685185</v>
      </c>
      <c r="J9" s="497">
        <f>SUMIF(72:72,YEAR(I9)&amp;"-"&amp;INT((MONTH(I9)+2)/3),73:73)</f>
        <v>98</v>
      </c>
      <c r="K9" s="501"/>
      <c r="L9" s="1991"/>
      <c r="M9" s="1988"/>
      <c r="N9" s="1988"/>
      <c r="O9" s="1992"/>
      <c r="P9" s="3518" t="s">
        <v>513</v>
      </c>
      <c r="Q9" s="3520"/>
      <c r="R9" s="1478" t="s">
        <v>8</v>
      </c>
      <c r="S9" s="1479">
        <f t="shared" ref="S9:S17" si="0">F9</f>
        <v>98.75</v>
      </c>
      <c r="T9" s="1478" t="s">
        <v>8</v>
      </c>
      <c r="U9" s="1479">
        <f t="shared" ref="U9:U17" si="1">H9</f>
        <v>98.5</v>
      </c>
      <c r="V9" s="1478" t="s">
        <v>8</v>
      </c>
      <c r="W9" s="1479">
        <f t="shared" ref="W9:W17" si="2">J9</f>
        <v>98</v>
      </c>
      <c r="X9" s="1480"/>
      <c r="Y9" s="3518" t="s">
        <v>513</v>
      </c>
      <c r="Z9" s="3519"/>
      <c r="AA9" s="1481">
        <f>D9/F9</f>
        <v>1.0126582278481013</v>
      </c>
      <c r="AB9" s="1481">
        <f>D9/H9</f>
        <v>1.015228426395939</v>
      </c>
      <c r="AC9" s="1481">
        <f>D9/J9</f>
        <v>1.0204081632653061</v>
      </c>
    </row>
    <row r="10" spans="1:30" s="1186" customFormat="1" ht="21" thickBot="1">
      <c r="A10" s="2601"/>
      <c r="B10" s="2608" t="s">
        <v>514</v>
      </c>
      <c r="C10" s="828" t="s">
        <v>515</v>
      </c>
      <c r="D10" s="497">
        <v>100</v>
      </c>
      <c r="E10" s="502" t="s">
        <v>3486</v>
      </c>
      <c r="F10" s="499">
        <f>SUMIF(75:75,E10,76:76)-SUMIF(75:75,C10,76:76)+100</f>
        <v>100</v>
      </c>
      <c r="G10" s="502" t="s">
        <v>3486</v>
      </c>
      <c r="H10" s="497">
        <f>SUMIF(75:75,G10,76:76)-SUMIF(75:75,C10,76:76)+100</f>
        <v>100</v>
      </c>
      <c r="I10" s="502" t="s">
        <v>3486</v>
      </c>
      <c r="J10" s="497">
        <f>SUMIF(75:75,I10,76:76)-SUMIF(75:75,C10,76:76)+100</f>
        <v>100</v>
      </c>
      <c r="K10" s="501"/>
      <c r="L10" s="1991"/>
      <c r="M10" s="1988"/>
      <c r="N10" s="1988"/>
      <c r="O10" s="1992"/>
      <c r="P10" s="3518" t="s">
        <v>516</v>
      </c>
      <c r="Q10" s="3519"/>
      <c r="R10" s="1478" t="s">
        <v>8</v>
      </c>
      <c r="S10" s="1479">
        <f t="shared" si="0"/>
        <v>100</v>
      </c>
      <c r="T10" s="1478" t="s">
        <v>8</v>
      </c>
      <c r="U10" s="1479">
        <f t="shared" si="1"/>
        <v>100</v>
      </c>
      <c r="V10" s="1478" t="s">
        <v>8</v>
      </c>
      <c r="W10" s="1479">
        <f t="shared" si="2"/>
        <v>100</v>
      </c>
      <c r="X10" s="1480"/>
      <c r="Y10" s="3518" t="s">
        <v>516</v>
      </c>
      <c r="Z10" s="3519"/>
      <c r="AA10" s="1481">
        <f t="shared" ref="AA10:AA47" si="3">D10/F10</f>
        <v>1</v>
      </c>
      <c r="AB10" s="1481">
        <f t="shared" ref="AB10:AB47" si="4">D10/H10</f>
        <v>1</v>
      </c>
      <c r="AC10" s="1481">
        <f t="shared" ref="AC10:AC47" si="5">D10/J10</f>
        <v>1</v>
      </c>
    </row>
    <row r="11" spans="1:30" s="1186" customFormat="1" ht="20.25">
      <c r="A11" s="2602"/>
      <c r="B11" s="2609" t="s">
        <v>2715</v>
      </c>
      <c r="C11" s="2596"/>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487" t="s">
        <v>518</v>
      </c>
      <c r="Q11" s="1117" t="str">
        <f t="shared" ref="Q11:Q17" si="6">B11</f>
        <v>用途</v>
      </c>
      <c r="R11" s="1478" t="s">
        <v>8</v>
      </c>
      <c r="S11" s="1479">
        <f t="shared" si="0"/>
        <v>100</v>
      </c>
      <c r="T11" s="1478" t="s">
        <v>8</v>
      </c>
      <c r="U11" s="1479">
        <f t="shared" si="1"/>
        <v>100</v>
      </c>
      <c r="V11" s="1478" t="s">
        <v>8</v>
      </c>
      <c r="W11" s="1479">
        <f t="shared" si="2"/>
        <v>100</v>
      </c>
      <c r="X11" s="1480"/>
      <c r="Y11" s="3433" t="s">
        <v>519</v>
      </c>
      <c r="Z11" s="1116" t="str">
        <f t="shared" ref="Z11:Z17" si="7">Q11</f>
        <v>用途</v>
      </c>
      <c r="AA11" s="1481">
        <f t="shared" si="3"/>
        <v>1</v>
      </c>
      <c r="AB11" s="1481">
        <f t="shared" si="4"/>
        <v>1</v>
      </c>
      <c r="AC11" s="1481">
        <f t="shared" si="5"/>
        <v>1</v>
      </c>
    </row>
    <row r="12" spans="1:30" s="1267" customFormat="1" ht="27">
      <c r="A12" s="2603"/>
      <c r="B12" s="2608" t="s">
        <v>2716</v>
      </c>
      <c r="C12" s="882"/>
      <c r="D12" s="253">
        <v>100</v>
      </c>
      <c r="E12" s="506"/>
      <c r="F12" s="253">
        <f>ROUND(100/'数据-取费表'!G16,0)</f>
        <v>100</v>
      </c>
      <c r="G12" s="507"/>
      <c r="H12" s="253">
        <f>ROUND(100/'数据-取费表'!G16,0)</f>
        <v>100</v>
      </c>
      <c r="I12" s="507"/>
      <c r="J12" s="253">
        <f>ROUND(100/'数据-取费表'!G16,0)</f>
        <v>100</v>
      </c>
      <c r="K12" s="508"/>
      <c r="L12" s="1994"/>
      <c r="M12" s="1988"/>
      <c r="N12" s="1988"/>
      <c r="O12" s="1995"/>
      <c r="P12" s="3487"/>
      <c r="Q12" s="1117" t="str">
        <f t="shared" si="6"/>
        <v>土地使用年限（年）</v>
      </c>
      <c r="R12" s="1478" t="s">
        <v>8</v>
      </c>
      <c r="S12" s="1479">
        <f t="shared" si="0"/>
        <v>100</v>
      </c>
      <c r="T12" s="1478" t="s">
        <v>8</v>
      </c>
      <c r="U12" s="1479">
        <f t="shared" si="1"/>
        <v>100</v>
      </c>
      <c r="V12" s="1478" t="s">
        <v>8</v>
      </c>
      <c r="W12" s="1479">
        <f t="shared" si="2"/>
        <v>100</v>
      </c>
      <c r="X12" s="1480"/>
      <c r="Y12" s="3433"/>
      <c r="Z12" s="1116" t="str">
        <f t="shared" si="7"/>
        <v>土地使用年限（年）</v>
      </c>
      <c r="AA12" s="1481">
        <f t="shared" si="3"/>
        <v>1</v>
      </c>
      <c r="AB12" s="1481">
        <f t="shared" si="4"/>
        <v>1</v>
      </c>
      <c r="AC12" s="1481">
        <f t="shared" si="5"/>
        <v>1</v>
      </c>
    </row>
    <row r="13" spans="1:30" ht="20.25">
      <c r="A13" s="2604"/>
      <c r="B13" s="2608" t="s">
        <v>2717</v>
      </c>
      <c r="C13" s="511">
        <f>'数据-汇总表'!I6</f>
        <v>3</v>
      </c>
      <c r="D13" s="253">
        <v>100</v>
      </c>
      <c r="E13" s="510">
        <v>2.5</v>
      </c>
      <c r="F13" s="253">
        <f>LOOKUP(E13,82:82,83:83)-LOOKUP(C13,82:82,83:83)+100</f>
        <v>105</v>
      </c>
      <c r="G13" s="511">
        <v>3</v>
      </c>
      <c r="H13" s="253">
        <f>LOOKUP(G13,82:82,83:83)-LOOKUP(C13,82:82,83:83)+100</f>
        <v>100</v>
      </c>
      <c r="I13" s="510">
        <v>3</v>
      </c>
      <c r="J13" s="253">
        <f>LOOKUP(I13,82:82,83:83)-LOOKUP(C13,82:82,83:83)+100</f>
        <v>100</v>
      </c>
      <c r="K13" s="512">
        <v>5</v>
      </c>
      <c r="L13" s="1996"/>
      <c r="M13" s="1988"/>
      <c r="N13" s="1988"/>
      <c r="O13" s="1997"/>
      <c r="P13" s="3487"/>
      <c r="Q13" s="1117" t="str">
        <f t="shared" si="6"/>
        <v>容积率</v>
      </c>
      <c r="R13" s="1478" t="s">
        <v>8</v>
      </c>
      <c r="S13" s="1479">
        <f t="shared" si="0"/>
        <v>105</v>
      </c>
      <c r="T13" s="1478" t="s">
        <v>8</v>
      </c>
      <c r="U13" s="1479">
        <f t="shared" si="1"/>
        <v>100</v>
      </c>
      <c r="V13" s="1478" t="s">
        <v>8</v>
      </c>
      <c r="W13" s="1479">
        <f t="shared" si="2"/>
        <v>100</v>
      </c>
      <c r="X13" s="1480"/>
      <c r="Y13" s="3433"/>
      <c r="Z13" s="1116" t="str">
        <f t="shared" si="7"/>
        <v>容积率</v>
      </c>
      <c r="AA13" s="1481">
        <f t="shared" si="3"/>
        <v>0.95238095238095233</v>
      </c>
      <c r="AB13" s="1481">
        <f t="shared" si="4"/>
        <v>1</v>
      </c>
      <c r="AC13" s="1481">
        <f t="shared" si="5"/>
        <v>1</v>
      </c>
    </row>
    <row r="14" spans="1:30" s="1186" customFormat="1" ht="20.25">
      <c r="A14" s="2601"/>
      <c r="B14" s="2610" t="s">
        <v>2718</v>
      </c>
      <c r="C14" s="2597"/>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487"/>
      <c r="Q14" s="1117" t="str">
        <f t="shared" si="6"/>
        <v>配建</v>
      </c>
      <c r="R14" s="1478" t="s">
        <v>8</v>
      </c>
      <c r="S14" s="1479">
        <f t="shared" si="0"/>
        <v>100</v>
      </c>
      <c r="T14" s="1478" t="s">
        <v>8</v>
      </c>
      <c r="U14" s="1479">
        <f t="shared" si="1"/>
        <v>100</v>
      </c>
      <c r="V14" s="1478" t="s">
        <v>8</v>
      </c>
      <c r="W14" s="1479">
        <f t="shared" si="2"/>
        <v>100</v>
      </c>
      <c r="X14" s="1480"/>
      <c r="Y14" s="3433"/>
      <c r="Z14" s="1116" t="str">
        <f t="shared" si="7"/>
        <v>配建</v>
      </c>
      <c r="AA14" s="1481">
        <f>D14/F14</f>
        <v>1</v>
      </c>
      <c r="AB14" s="1481">
        <f>D14/H14</f>
        <v>1</v>
      </c>
      <c r="AC14" s="1481">
        <f>D14/J14</f>
        <v>1</v>
      </c>
    </row>
    <row r="15" spans="1:30" ht="20.25">
      <c r="A15" s="2605"/>
      <c r="B15" s="3295" t="s">
        <v>3490</v>
      </c>
      <c r="C15" s="884" t="str">
        <f>C86</f>
        <v>20%以内</v>
      </c>
      <c r="D15" s="517">
        <v>100</v>
      </c>
      <c r="E15" s="518" t="str">
        <f>C15</f>
        <v>20%以内</v>
      </c>
      <c r="F15" s="253">
        <f>SUMIF(86:86,E15,87:87)-SUMIF(86:86,C15,87:87)+100</f>
        <v>100</v>
      </c>
      <c r="G15" s="519" t="str">
        <f>C86</f>
        <v>20%以内</v>
      </c>
      <c r="H15" s="517">
        <f>SUMIF(86:86,G15,87:87)-SUMIF(86:86,C15,87:87)+100</f>
        <v>100</v>
      </c>
      <c r="I15" s="519" t="str">
        <f>G15</f>
        <v>20%以内</v>
      </c>
      <c r="J15" s="517">
        <f>SUMIF(86:86,I15,87:87)-SUMIF(86:86,C15,87:87)+100</f>
        <v>100</v>
      </c>
      <c r="K15" s="508"/>
      <c r="L15" s="1998"/>
      <c r="M15" s="1988"/>
      <c r="N15" s="1988"/>
      <c r="O15" s="1997"/>
      <c r="P15" s="3487"/>
      <c r="Q15" s="1117" t="str">
        <f t="shared" si="6"/>
        <v>商业占比</v>
      </c>
      <c r="R15" s="1478" t="s">
        <v>8</v>
      </c>
      <c r="S15" s="1479">
        <f t="shared" si="0"/>
        <v>100</v>
      </c>
      <c r="T15" s="1478" t="s">
        <v>8</v>
      </c>
      <c r="U15" s="1479">
        <f t="shared" si="1"/>
        <v>100</v>
      </c>
      <c r="V15" s="1478" t="s">
        <v>8</v>
      </c>
      <c r="W15" s="1479">
        <f t="shared" si="2"/>
        <v>100</v>
      </c>
      <c r="X15" s="1480"/>
      <c r="Y15" s="3433"/>
      <c r="Z15" s="1116" t="str">
        <f t="shared" si="7"/>
        <v>商业占比</v>
      </c>
      <c r="AA15" s="1481">
        <f>D15/F15</f>
        <v>1</v>
      </c>
      <c r="AB15" s="1481">
        <f>D15/H15</f>
        <v>1</v>
      </c>
      <c r="AC15" s="1481">
        <f>D15/J15</f>
        <v>1</v>
      </c>
    </row>
    <row r="16" spans="1:30" ht="21" thickBot="1">
      <c r="A16" s="2606"/>
      <c r="B16" s="2612"/>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487"/>
      <c r="Q16" s="1117">
        <f t="shared" si="6"/>
        <v>0</v>
      </c>
      <c r="R16" s="1478" t="s">
        <v>8</v>
      </c>
      <c r="S16" s="1479">
        <f t="shared" si="0"/>
        <v>100</v>
      </c>
      <c r="T16" s="1478" t="s">
        <v>8</v>
      </c>
      <c r="U16" s="1479">
        <f t="shared" si="1"/>
        <v>100</v>
      </c>
      <c r="V16" s="1478" t="s">
        <v>8</v>
      </c>
      <c r="W16" s="1479">
        <f t="shared" si="2"/>
        <v>100</v>
      </c>
      <c r="X16" s="1480"/>
      <c r="Y16" s="3433"/>
      <c r="Z16" s="1116">
        <f t="shared" si="7"/>
        <v>0</v>
      </c>
      <c r="AA16" s="1481">
        <f>D16/F16</f>
        <v>1</v>
      </c>
      <c r="AB16" s="1481">
        <f>D16/H16</f>
        <v>1</v>
      </c>
      <c r="AC16" s="1481">
        <f>D16/J16</f>
        <v>1</v>
      </c>
    </row>
    <row r="17" spans="1:29" ht="99.75">
      <c r="A17" s="2598" t="s">
        <v>2713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v>3</v>
      </c>
      <c r="L17" s="1998"/>
      <c r="M17" s="1988"/>
      <c r="N17" s="1988"/>
      <c r="O17" s="1997"/>
      <c r="P17" s="3521" t="s">
        <v>523</v>
      </c>
      <c r="Q17" s="1482" t="str">
        <f t="shared" si="6"/>
        <v>居住社区成熟度</v>
      </c>
      <c r="R17" s="1483" t="s">
        <v>8</v>
      </c>
      <c r="S17" s="1484">
        <f t="shared" si="0"/>
        <v>100</v>
      </c>
      <c r="T17" s="1483" t="s">
        <v>8</v>
      </c>
      <c r="U17" s="1484">
        <f t="shared" si="1"/>
        <v>100</v>
      </c>
      <c r="V17" s="1483" t="s">
        <v>8</v>
      </c>
      <c r="W17" s="1484">
        <f t="shared" si="2"/>
        <v>100</v>
      </c>
      <c r="X17" s="1477"/>
      <c r="Y17" s="3521" t="s">
        <v>523</v>
      </c>
      <c r="Z17" s="1485" t="str">
        <f t="shared" si="7"/>
        <v>居住社区成熟度</v>
      </c>
      <c r="AA17" s="1486">
        <f t="shared" si="3"/>
        <v>1</v>
      </c>
      <c r="AB17" s="1486">
        <f t="shared" si="4"/>
        <v>1</v>
      </c>
      <c r="AC17" s="1486">
        <f t="shared" si="5"/>
        <v>1</v>
      </c>
    </row>
    <row r="18" spans="1:29" ht="20.25">
      <c r="A18" s="509"/>
      <c r="B18" s="530"/>
      <c r="C18" s="531" t="s">
        <v>3488</v>
      </c>
      <c r="D18" s="534"/>
      <c r="E18" s="535" t="s">
        <v>3488</v>
      </c>
      <c r="F18" s="532"/>
      <c r="G18" s="531" t="s">
        <v>3488</v>
      </c>
      <c r="H18" s="536"/>
      <c r="I18" s="531" t="s">
        <v>3488</v>
      </c>
      <c r="J18" s="532"/>
      <c r="K18" s="508"/>
      <c r="L18" s="1998"/>
      <c r="M18" s="1988"/>
      <c r="N18" s="1988"/>
      <c r="O18" s="1997"/>
      <c r="P18" s="3522"/>
      <c r="Q18" s="1482"/>
      <c r="R18" s="1483"/>
      <c r="S18" s="1484"/>
      <c r="T18" s="1483"/>
      <c r="U18" s="1484"/>
      <c r="V18" s="1483"/>
      <c r="W18" s="1484"/>
      <c r="X18" s="1477"/>
      <c r="Y18" s="3522"/>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v>2</v>
      </c>
      <c r="L19" s="1998"/>
      <c r="M19" s="1988"/>
      <c r="N19" s="1988"/>
      <c r="O19" s="1997"/>
      <c r="P19" s="3522"/>
      <c r="Q19" s="1482" t="str">
        <f>B19</f>
        <v>商业繁华度</v>
      </c>
      <c r="R19" s="1483" t="s">
        <v>8</v>
      </c>
      <c r="S19" s="1484">
        <f>F19</f>
        <v>100</v>
      </c>
      <c r="T19" s="1483" t="s">
        <v>8</v>
      </c>
      <c r="U19" s="1484">
        <f>H19</f>
        <v>100</v>
      </c>
      <c r="V19" s="1483" t="s">
        <v>8</v>
      </c>
      <c r="W19" s="1484">
        <f>J19</f>
        <v>100</v>
      </c>
      <c r="X19" s="1477"/>
      <c r="Y19" s="3522"/>
      <c r="Z19" s="1485" t="str">
        <f>Q19</f>
        <v>商业繁华度</v>
      </c>
      <c r="AA19" s="1486">
        <f t="shared" si="3"/>
        <v>1</v>
      </c>
      <c r="AB19" s="1486">
        <f t="shared" si="4"/>
        <v>1</v>
      </c>
      <c r="AC19" s="1486">
        <f t="shared" si="5"/>
        <v>1</v>
      </c>
    </row>
    <row r="20" spans="1:29" ht="20.25">
      <c r="A20" s="509"/>
      <c r="B20" s="543"/>
      <c r="C20" s="544" t="s">
        <v>3488</v>
      </c>
      <c r="D20" s="540"/>
      <c r="E20" s="546" t="s">
        <v>3488</v>
      </c>
      <c r="F20" s="536"/>
      <c r="G20" s="544" t="s">
        <v>3488</v>
      </c>
      <c r="H20" s="532"/>
      <c r="I20" s="544" t="s">
        <v>3488</v>
      </c>
      <c r="J20" s="532"/>
      <c r="K20" s="508"/>
      <c r="L20" s="1998"/>
      <c r="M20" s="1988"/>
      <c r="N20" s="1988"/>
      <c r="O20" s="1997"/>
      <c r="P20" s="3522"/>
      <c r="Q20" s="1482"/>
      <c r="R20" s="1483"/>
      <c r="S20" s="1484"/>
      <c r="T20" s="1483"/>
      <c r="U20" s="1484"/>
      <c r="V20" s="1483"/>
      <c r="W20" s="1484"/>
      <c r="X20" s="1477"/>
      <c r="Y20" s="3522"/>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522"/>
      <c r="Q21" s="1482" t="str">
        <f>B21</f>
        <v>办公集聚程度</v>
      </c>
      <c r="R21" s="1483" t="s">
        <v>8</v>
      </c>
      <c r="S21" s="1484">
        <f>F21</f>
        <v>100</v>
      </c>
      <c r="T21" s="1483" t="s">
        <v>8</v>
      </c>
      <c r="U21" s="1484">
        <f>H21</f>
        <v>100</v>
      </c>
      <c r="V21" s="1483" t="s">
        <v>8</v>
      </c>
      <c r="W21" s="1484">
        <f>J21</f>
        <v>100</v>
      </c>
      <c r="X21" s="1477"/>
      <c r="Y21" s="3522"/>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522"/>
      <c r="Q22" s="1482"/>
      <c r="R22" s="1483"/>
      <c r="S22" s="1484"/>
      <c r="T22" s="1483"/>
      <c r="U22" s="1484"/>
      <c r="V22" s="1483"/>
      <c r="W22" s="1484"/>
      <c r="X22" s="1477"/>
      <c r="Y22" s="3522"/>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522"/>
      <c r="Q23" s="1482" t="str">
        <f>B23</f>
        <v>交通便捷度</v>
      </c>
      <c r="R23" s="1483" t="s">
        <v>8</v>
      </c>
      <c r="S23" s="1484">
        <f>F23</f>
        <v>100</v>
      </c>
      <c r="T23" s="1483" t="s">
        <v>8</v>
      </c>
      <c r="U23" s="1484">
        <f>H23</f>
        <v>100</v>
      </c>
      <c r="V23" s="1483" t="s">
        <v>8</v>
      </c>
      <c r="W23" s="1484">
        <f>J23</f>
        <v>100</v>
      </c>
      <c r="X23" s="1477"/>
      <c r="Y23" s="3522"/>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522"/>
      <c r="Q24" s="1482"/>
      <c r="R24" s="1483"/>
      <c r="S24" s="1484"/>
      <c r="T24" s="1483"/>
      <c r="U24" s="1484"/>
      <c r="V24" s="1483"/>
      <c r="W24" s="1484"/>
      <c r="X24" s="1477"/>
      <c r="Y24" s="3522"/>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522"/>
      <c r="Q25" s="1482" t="str">
        <f t="shared" ref="Q25:Q39" si="8">B25</f>
        <v>区域土地利用方向</v>
      </c>
      <c r="R25" s="1483" t="s">
        <v>8</v>
      </c>
      <c r="S25" s="1484">
        <f>F25</f>
        <v>100</v>
      </c>
      <c r="T25" s="1483" t="s">
        <v>8</v>
      </c>
      <c r="U25" s="1484">
        <f>H25</f>
        <v>100</v>
      </c>
      <c r="V25" s="1483" t="s">
        <v>8</v>
      </c>
      <c r="W25" s="1484">
        <f>J25</f>
        <v>100</v>
      </c>
      <c r="X25" s="1477"/>
      <c r="Y25" s="3522"/>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522"/>
      <c r="Q26" s="1482"/>
      <c r="R26" s="1483"/>
      <c r="S26" s="1484"/>
      <c r="T26" s="1483"/>
      <c r="U26" s="1484"/>
      <c r="V26" s="1483"/>
      <c r="W26" s="1484"/>
      <c r="X26" s="1477"/>
      <c r="Y26" s="3522"/>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522"/>
      <c r="Q27" s="1482" t="str">
        <f t="shared" si="8"/>
        <v>自然及人文环境状况</v>
      </c>
      <c r="R27" s="1483" t="s">
        <v>8</v>
      </c>
      <c r="S27" s="1484">
        <f>F27</f>
        <v>100</v>
      </c>
      <c r="T27" s="1483" t="s">
        <v>8</v>
      </c>
      <c r="U27" s="1484">
        <f>H27</f>
        <v>100</v>
      </c>
      <c r="V27" s="1483" t="s">
        <v>8</v>
      </c>
      <c r="W27" s="1484">
        <f>J27</f>
        <v>100</v>
      </c>
      <c r="X27" s="1477"/>
      <c r="Y27" s="3522"/>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522"/>
      <c r="Q28" s="1482"/>
      <c r="R28" s="1483"/>
      <c r="S28" s="1484"/>
      <c r="T28" s="1483"/>
      <c r="U28" s="1484"/>
      <c r="V28" s="1483"/>
      <c r="W28" s="1484"/>
      <c r="X28" s="1477"/>
      <c r="Y28" s="3522"/>
      <c r="Z28" s="1485"/>
      <c r="AA28" s="1486">
        <v>1</v>
      </c>
      <c r="AB28" s="1486">
        <v>1</v>
      </c>
      <c r="AC28" s="1486">
        <v>1</v>
      </c>
    </row>
    <row r="29" spans="1:29" s="1186" customFormat="1" ht="42.75">
      <c r="A29" s="554"/>
      <c r="B29" s="2406" t="s">
        <v>2509</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v>5</v>
      </c>
      <c r="L29" s="1991"/>
      <c r="M29" s="1988"/>
      <c r="N29" s="1988"/>
      <c r="O29" s="1993"/>
      <c r="P29" s="3522"/>
      <c r="Q29" s="1117" t="str">
        <f t="shared" si="8"/>
        <v>公共配套设施</v>
      </c>
      <c r="R29" s="1478" t="s">
        <v>8</v>
      </c>
      <c r="S29" s="1479">
        <f>F29</f>
        <v>100</v>
      </c>
      <c r="T29" s="1478" t="s">
        <v>8</v>
      </c>
      <c r="U29" s="1479">
        <f>H29</f>
        <v>100</v>
      </c>
      <c r="V29" s="1478" t="s">
        <v>8</v>
      </c>
      <c r="W29" s="1479">
        <f>J29</f>
        <v>100</v>
      </c>
      <c r="X29" s="1480"/>
      <c r="Y29" s="3522"/>
      <c r="Z29" s="1116" t="str">
        <f>Q29</f>
        <v>公共配套设施</v>
      </c>
      <c r="AA29" s="1486">
        <f>D29/F29</f>
        <v>1</v>
      </c>
      <c r="AB29" s="1486">
        <f>D29/H29</f>
        <v>1</v>
      </c>
      <c r="AC29" s="1486">
        <f>D29/J29</f>
        <v>1</v>
      </c>
    </row>
    <row r="30" spans="1:29" s="1186" customFormat="1" ht="20.25">
      <c r="A30" s="554"/>
      <c r="B30" s="543"/>
      <c r="C30" s="556" t="s">
        <v>3488</v>
      </c>
      <c r="D30" s="534"/>
      <c r="E30" s="553" t="s">
        <v>3488</v>
      </c>
      <c r="F30" s="532"/>
      <c r="G30" s="556" t="s">
        <v>3488</v>
      </c>
      <c r="H30" s="532"/>
      <c r="I30" s="556" t="s">
        <v>3488</v>
      </c>
      <c r="J30" s="532"/>
      <c r="K30" s="508"/>
      <c r="L30" s="1991"/>
      <c r="M30" s="1988"/>
      <c r="N30" s="1988"/>
      <c r="O30" s="1993"/>
      <c r="P30" s="3522"/>
      <c r="Q30" s="1117"/>
      <c r="R30" s="1478"/>
      <c r="S30" s="1479"/>
      <c r="T30" s="1478"/>
      <c r="U30" s="1479"/>
      <c r="V30" s="1478"/>
      <c r="W30" s="1479"/>
      <c r="X30" s="1480"/>
      <c r="Y30" s="3522"/>
      <c r="Z30" s="1116"/>
      <c r="AA30" s="1486">
        <v>1</v>
      </c>
      <c r="AB30" s="1486">
        <v>1</v>
      </c>
      <c r="AC30" s="1486">
        <v>1</v>
      </c>
    </row>
    <row r="31" spans="1:29" s="1186" customFormat="1" ht="28.5">
      <c r="A31" s="554"/>
      <c r="B31" s="2406" t="s">
        <v>2510</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522"/>
      <c r="Q31" s="2399" t="str">
        <f t="shared" ref="Q31" si="9">B31</f>
        <v>基础设施水平</v>
      </c>
      <c r="R31" s="1478" t="s">
        <v>8</v>
      </c>
      <c r="S31" s="1479">
        <f>F31</f>
        <v>100</v>
      </c>
      <c r="T31" s="1478" t="s">
        <v>8</v>
      </c>
      <c r="U31" s="1479">
        <f>H31</f>
        <v>100</v>
      </c>
      <c r="V31" s="1478" t="s">
        <v>8</v>
      </c>
      <c r="W31" s="1479">
        <f>J31</f>
        <v>100</v>
      </c>
      <c r="X31" s="1480"/>
      <c r="Y31" s="3522"/>
      <c r="Z31" s="2398" t="str">
        <f>Q31</f>
        <v>基础设施水平</v>
      </c>
      <c r="AA31" s="1486">
        <f>D31/F31</f>
        <v>1</v>
      </c>
      <c r="AB31" s="1486">
        <f>D31/H31</f>
        <v>1</v>
      </c>
      <c r="AC31" s="1486">
        <f>D31/J31</f>
        <v>1</v>
      </c>
    </row>
    <row r="32" spans="1:29" s="1186" customFormat="1" ht="20.25">
      <c r="A32" s="554"/>
      <c r="B32" s="543"/>
      <c r="C32" s="556"/>
      <c r="D32" s="534"/>
      <c r="E32" s="2407"/>
      <c r="F32" s="532"/>
      <c r="G32" s="556"/>
      <c r="H32" s="532"/>
      <c r="I32" s="556"/>
      <c r="J32" s="532"/>
      <c r="K32" s="508"/>
      <c r="L32" s="1991"/>
      <c r="M32" s="1988"/>
      <c r="N32" s="1988"/>
      <c r="O32" s="1993"/>
      <c r="P32" s="3522"/>
      <c r="Q32" s="2399"/>
      <c r="R32" s="1478"/>
      <c r="S32" s="1479"/>
      <c r="T32" s="1478"/>
      <c r="U32" s="1479"/>
      <c r="V32" s="1478"/>
      <c r="W32" s="1479"/>
      <c r="X32" s="1480"/>
      <c r="Y32" s="3522"/>
      <c r="Z32" s="2398"/>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522"/>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522"/>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522"/>
      <c r="Q34" s="1482" t="str">
        <f t="shared" si="8"/>
        <v>毗邻道路的类型与等级</v>
      </c>
      <c r="R34" s="1483" t="s">
        <v>8</v>
      </c>
      <c r="S34" s="1484">
        <f t="shared" si="10"/>
        <v>100</v>
      </c>
      <c r="T34" s="1483" t="s">
        <v>8</v>
      </c>
      <c r="U34" s="1484">
        <f t="shared" si="11"/>
        <v>100</v>
      </c>
      <c r="V34" s="1483" t="s">
        <v>8</v>
      </c>
      <c r="W34" s="1484">
        <f t="shared" si="12"/>
        <v>100</v>
      </c>
      <c r="X34" s="1477"/>
      <c r="Y34" s="3522"/>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522"/>
      <c r="Q35" s="1482"/>
      <c r="R35" s="1483"/>
      <c r="S35" s="1484"/>
      <c r="T35" s="1483"/>
      <c r="U35" s="1484"/>
      <c r="V35" s="1483"/>
      <c r="W35" s="1484"/>
      <c r="X35" s="1477"/>
      <c r="Y35" s="3522"/>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522"/>
      <c r="Q36" s="1482" t="str">
        <f t="shared" si="8"/>
        <v>土地级别</v>
      </c>
      <c r="R36" s="1483" t="s">
        <v>8</v>
      </c>
      <c r="S36" s="1484">
        <f t="shared" si="10"/>
        <v>100</v>
      </c>
      <c r="T36" s="1483" t="s">
        <v>8</v>
      </c>
      <c r="U36" s="1484">
        <f t="shared" si="11"/>
        <v>100</v>
      </c>
      <c r="V36" s="1483" t="s">
        <v>8</v>
      </c>
      <c r="W36" s="1484">
        <f t="shared" si="12"/>
        <v>100</v>
      </c>
      <c r="X36" s="1477"/>
      <c r="Y36" s="3522"/>
      <c r="Z36" s="1485" t="str">
        <f t="shared" si="13"/>
        <v>土地级别</v>
      </c>
      <c r="AA36" s="1486">
        <f t="shared" si="3"/>
        <v>1</v>
      </c>
      <c r="AB36" s="1486">
        <f t="shared" si="4"/>
        <v>1</v>
      </c>
      <c r="AC36" s="1486">
        <f t="shared" si="5"/>
        <v>1</v>
      </c>
    </row>
    <row r="37" spans="1:29" ht="20.25">
      <c r="A37" s="492"/>
      <c r="B37" s="562"/>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522"/>
      <c r="Q37" s="1482">
        <f t="shared" si="8"/>
        <v>0</v>
      </c>
      <c r="R37" s="1483" t="s">
        <v>8</v>
      </c>
      <c r="S37" s="1484">
        <f t="shared" si="10"/>
        <v>100</v>
      </c>
      <c r="T37" s="1483" t="s">
        <v>8</v>
      </c>
      <c r="U37" s="1484">
        <f t="shared" si="11"/>
        <v>100</v>
      </c>
      <c r="V37" s="1483" t="s">
        <v>8</v>
      </c>
      <c r="W37" s="1484">
        <f t="shared" si="12"/>
        <v>100</v>
      </c>
      <c r="X37" s="1477"/>
      <c r="Y37" s="3522"/>
      <c r="Z37" s="1485">
        <f t="shared" si="13"/>
        <v>0</v>
      </c>
      <c r="AA37" s="1486">
        <f t="shared" si="3"/>
        <v>1</v>
      </c>
      <c r="AB37" s="1486">
        <f t="shared" si="4"/>
        <v>1</v>
      </c>
      <c r="AC37" s="1486">
        <f t="shared" si="5"/>
        <v>1</v>
      </c>
    </row>
    <row r="38" spans="1:29" ht="20.25">
      <c r="A38" s="564"/>
      <c r="B38" s="565"/>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523" t="s">
        <v>533</v>
      </c>
      <c r="Q38" s="1482">
        <f t="shared" si="8"/>
        <v>0</v>
      </c>
      <c r="R38" s="1483" t="s">
        <v>8</v>
      </c>
      <c r="S38" s="1484">
        <f t="shared" si="10"/>
        <v>100</v>
      </c>
      <c r="T38" s="1483" t="s">
        <v>8</v>
      </c>
      <c r="U38" s="1484">
        <f t="shared" si="11"/>
        <v>100</v>
      </c>
      <c r="V38" s="1483" t="s">
        <v>8</v>
      </c>
      <c r="W38" s="1484">
        <f t="shared" si="12"/>
        <v>100</v>
      </c>
      <c r="X38" s="1477"/>
      <c r="Y38" s="3524" t="s">
        <v>533</v>
      </c>
      <c r="Z38" s="1485">
        <f t="shared" si="13"/>
        <v>0</v>
      </c>
      <c r="AA38" s="1486">
        <f t="shared" si="3"/>
        <v>1</v>
      </c>
      <c r="AB38" s="1486">
        <f t="shared" si="4"/>
        <v>1</v>
      </c>
      <c r="AC38" s="1486">
        <f t="shared" si="5"/>
        <v>1</v>
      </c>
    </row>
    <row r="39" spans="1:29" s="1268" customFormat="1" ht="21" thickBot="1">
      <c r="A39" s="566"/>
      <c r="B39" s="567"/>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524"/>
      <c r="Q39" s="1482">
        <f t="shared" si="8"/>
        <v>0</v>
      </c>
      <c r="R39" s="1487" t="s">
        <v>8</v>
      </c>
      <c r="S39" s="1488">
        <f t="shared" si="10"/>
        <v>100</v>
      </c>
      <c r="T39" s="1487" t="s">
        <v>8</v>
      </c>
      <c r="U39" s="1488">
        <f t="shared" si="11"/>
        <v>100</v>
      </c>
      <c r="V39" s="1487" t="s">
        <v>8</v>
      </c>
      <c r="W39" s="1488">
        <f t="shared" si="12"/>
        <v>100</v>
      </c>
      <c r="X39" s="1489"/>
      <c r="Y39" s="3524"/>
      <c r="Z39" s="1490">
        <f t="shared" si="13"/>
        <v>0</v>
      </c>
      <c r="AA39" s="1486">
        <f t="shared" si="3"/>
        <v>1</v>
      </c>
      <c r="AB39" s="1486">
        <f t="shared" si="4"/>
        <v>1</v>
      </c>
      <c r="AC39" s="1486">
        <f t="shared" si="5"/>
        <v>1</v>
      </c>
    </row>
    <row r="40" spans="1:29" ht="20.25">
      <c r="A40" s="2595" t="s">
        <v>2714</v>
      </c>
      <c r="B40" s="572" t="s">
        <v>535</v>
      </c>
      <c r="C40" s="573">
        <f>'数据-汇总表'!D3</f>
        <v>34818</v>
      </c>
      <c r="D40" s="574">
        <v>100</v>
      </c>
      <c r="E40" s="573">
        <f>土地案例!H22</f>
        <v>28234</v>
      </c>
      <c r="F40" s="574">
        <f>LOOKUP(E40,119:119,120:120)-LOOKUP(C40,119:119,120:120)+100</f>
        <v>100</v>
      </c>
      <c r="G40" s="573">
        <f>土地案例!H36</f>
        <v>35288</v>
      </c>
      <c r="H40" s="574">
        <f>LOOKUP(G40,119:119,120:120)-LOOKUP(C40,119:119,120:120)+100</f>
        <v>100</v>
      </c>
      <c r="I40" s="575">
        <f>土地案例!H56</f>
        <v>12000</v>
      </c>
      <c r="J40" s="574">
        <f>LOOKUP(I40,119:119,120:120)-LOOKUP(C40,119:119,120:120)+100</f>
        <v>99.5</v>
      </c>
      <c r="K40" s="558"/>
      <c r="L40" s="1998"/>
      <c r="M40" s="1988"/>
      <c r="N40" s="1988"/>
      <c r="O40" s="1997"/>
      <c r="P40" s="3524"/>
      <c r="Q40" s="1482" t="str">
        <f>B40</f>
        <v>宗地面积</v>
      </c>
      <c r="R40" s="1483" t="s">
        <v>8</v>
      </c>
      <c r="S40" s="1484">
        <f t="shared" si="10"/>
        <v>100</v>
      </c>
      <c r="T40" s="1483" t="s">
        <v>8</v>
      </c>
      <c r="U40" s="1484">
        <f t="shared" si="11"/>
        <v>100</v>
      </c>
      <c r="V40" s="1483" t="s">
        <v>8</v>
      </c>
      <c r="W40" s="1484">
        <f t="shared" si="12"/>
        <v>99.5</v>
      </c>
      <c r="X40" s="1477"/>
      <c r="Y40" s="3524"/>
      <c r="Z40" s="1485" t="str">
        <f t="shared" si="13"/>
        <v>宗地面积</v>
      </c>
      <c r="AA40" s="1486">
        <f t="shared" si="3"/>
        <v>1</v>
      </c>
      <c r="AB40" s="1486">
        <f t="shared" si="4"/>
        <v>1</v>
      </c>
      <c r="AC40" s="1486">
        <f t="shared" si="5"/>
        <v>1.0050251256281406</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524"/>
      <c r="Q41" s="1482" t="str">
        <f t="shared" ref="Q41:Q47" si="14">B41</f>
        <v>宗地形状</v>
      </c>
      <c r="R41" s="1483" t="s">
        <v>8</v>
      </c>
      <c r="S41" s="1484">
        <f t="shared" si="10"/>
        <v>100</v>
      </c>
      <c r="T41" s="1483" t="s">
        <v>8</v>
      </c>
      <c r="U41" s="1484">
        <f t="shared" si="11"/>
        <v>100</v>
      </c>
      <c r="V41" s="1483" t="s">
        <v>8</v>
      </c>
      <c r="W41" s="1484">
        <f t="shared" si="12"/>
        <v>100</v>
      </c>
      <c r="X41" s="1477"/>
      <c r="Y41" s="3524"/>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524"/>
      <c r="Q42" s="1482" t="str">
        <f t="shared" si="14"/>
        <v>临街宽度及深度</v>
      </c>
      <c r="R42" s="1483" t="s">
        <v>8</v>
      </c>
      <c r="S42" s="1484">
        <f t="shared" si="10"/>
        <v>100</v>
      </c>
      <c r="T42" s="1483" t="s">
        <v>8</v>
      </c>
      <c r="U42" s="1484">
        <f t="shared" si="11"/>
        <v>100</v>
      </c>
      <c r="V42" s="1483" t="s">
        <v>8</v>
      </c>
      <c r="W42" s="1484">
        <f t="shared" si="12"/>
        <v>100</v>
      </c>
      <c r="X42" s="1477"/>
      <c r="Y42" s="3524"/>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524"/>
      <c r="Q43" s="1482" t="str">
        <f t="shared" si="14"/>
        <v>宗地开发程度</v>
      </c>
      <c r="R43" s="1478" t="s">
        <v>8</v>
      </c>
      <c r="S43" s="1479">
        <f t="shared" si="10"/>
        <v>100</v>
      </c>
      <c r="T43" s="1478" t="s">
        <v>8</v>
      </c>
      <c r="U43" s="1479">
        <f t="shared" si="11"/>
        <v>100</v>
      </c>
      <c r="V43" s="1478" t="s">
        <v>8</v>
      </c>
      <c r="W43" s="1479">
        <f t="shared" si="12"/>
        <v>100</v>
      </c>
      <c r="X43" s="1480"/>
      <c r="Y43" s="3524"/>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524" t="s">
        <v>533</v>
      </c>
      <c r="Q44" s="1482" t="str">
        <f t="shared" si="14"/>
        <v>工程地质条件</v>
      </c>
      <c r="R44" s="1483" t="s">
        <v>8</v>
      </c>
      <c r="S44" s="1484">
        <f t="shared" si="10"/>
        <v>100</v>
      </c>
      <c r="T44" s="1483" t="s">
        <v>8</v>
      </c>
      <c r="U44" s="1484">
        <f t="shared" si="11"/>
        <v>100</v>
      </c>
      <c r="V44" s="1483" t="s">
        <v>8</v>
      </c>
      <c r="W44" s="1484">
        <f t="shared" si="12"/>
        <v>100</v>
      </c>
      <c r="X44" s="1477"/>
      <c r="Y44" s="3524" t="s">
        <v>533</v>
      </c>
      <c r="Z44" s="1485" t="str">
        <f t="shared" si="13"/>
        <v>工程地质条件</v>
      </c>
      <c r="AA44" s="1486">
        <f t="shared" si="3"/>
        <v>1</v>
      </c>
      <c r="AB44" s="1486">
        <f t="shared" si="4"/>
        <v>1</v>
      </c>
      <c r="AC44" s="1486">
        <f t="shared" si="5"/>
        <v>1</v>
      </c>
    </row>
    <row r="45" spans="1:29" ht="20.25">
      <c r="A45" s="571"/>
      <c r="B45" s="579"/>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524"/>
      <c r="Q45" s="1482">
        <f t="shared" si="14"/>
        <v>0</v>
      </c>
      <c r="R45" s="1483" t="s">
        <v>8</v>
      </c>
      <c r="S45" s="1484">
        <f t="shared" si="10"/>
        <v>100</v>
      </c>
      <c r="T45" s="1483" t="s">
        <v>8</v>
      </c>
      <c r="U45" s="1484">
        <f t="shared" si="11"/>
        <v>100</v>
      </c>
      <c r="V45" s="1483" t="s">
        <v>8</v>
      </c>
      <c r="W45" s="1484">
        <f t="shared" si="12"/>
        <v>100</v>
      </c>
      <c r="X45" s="1477"/>
      <c r="Y45" s="3524"/>
      <c r="Z45" s="1485">
        <f t="shared" si="13"/>
        <v>0</v>
      </c>
      <c r="AA45" s="1486">
        <f t="shared" si="3"/>
        <v>1</v>
      </c>
      <c r="AB45" s="1486">
        <f t="shared" si="4"/>
        <v>1</v>
      </c>
      <c r="AC45" s="1486">
        <f t="shared" si="5"/>
        <v>1</v>
      </c>
    </row>
    <row r="46" spans="1:29" ht="20.25">
      <c r="A46" s="571"/>
      <c r="B46" s="579"/>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524"/>
      <c r="Q46" s="1482">
        <f t="shared" si="14"/>
        <v>0</v>
      </c>
      <c r="R46" s="1483" t="s">
        <v>8</v>
      </c>
      <c r="S46" s="1484">
        <f t="shared" si="10"/>
        <v>100</v>
      </c>
      <c r="T46" s="1483" t="s">
        <v>8</v>
      </c>
      <c r="U46" s="1484">
        <f t="shared" si="11"/>
        <v>100</v>
      </c>
      <c r="V46" s="1483" t="s">
        <v>8</v>
      </c>
      <c r="W46" s="1484">
        <f t="shared" si="12"/>
        <v>100</v>
      </c>
      <c r="X46" s="1477"/>
      <c r="Y46" s="3524"/>
      <c r="Z46" s="1485">
        <f t="shared" si="13"/>
        <v>0</v>
      </c>
      <c r="AA46" s="1486">
        <f t="shared" si="3"/>
        <v>1</v>
      </c>
      <c r="AB46" s="1486">
        <f t="shared" si="4"/>
        <v>1</v>
      </c>
      <c r="AC46" s="1486">
        <f t="shared" si="5"/>
        <v>1</v>
      </c>
    </row>
    <row r="47" spans="1:29" s="1268" customFormat="1" ht="21" thickBot="1">
      <c r="A47" s="580"/>
      <c r="B47" s="579"/>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524"/>
      <c r="Q47" s="1482">
        <f t="shared" si="14"/>
        <v>0</v>
      </c>
      <c r="R47" s="1487" t="s">
        <v>8</v>
      </c>
      <c r="S47" s="1488">
        <f t="shared" si="10"/>
        <v>100</v>
      </c>
      <c r="T47" s="1487" t="s">
        <v>8</v>
      </c>
      <c r="U47" s="1488">
        <f t="shared" si="11"/>
        <v>100</v>
      </c>
      <c r="V47" s="1487" t="s">
        <v>8</v>
      </c>
      <c r="W47" s="1488">
        <f t="shared" si="12"/>
        <v>100</v>
      </c>
      <c r="X47" s="1489"/>
      <c r="Y47" s="3524"/>
      <c r="Z47" s="1490">
        <f t="shared" si="13"/>
        <v>0</v>
      </c>
      <c r="AA47" s="1486">
        <f t="shared" si="3"/>
        <v>1</v>
      </c>
      <c r="AB47" s="1486">
        <f t="shared" si="4"/>
        <v>1</v>
      </c>
      <c r="AC47" s="1486">
        <f t="shared" si="5"/>
        <v>1</v>
      </c>
    </row>
    <row r="48" spans="1:29" ht="20.25">
      <c r="A48" s="584" t="s">
        <v>539</v>
      </c>
      <c r="B48" s="585" t="s">
        <v>3487</v>
      </c>
      <c r="C48" s="586" t="s">
        <v>1</v>
      </c>
      <c r="D48" s="587"/>
      <c r="E48" s="588">
        <f>土地案例!AL22</f>
        <v>3584</v>
      </c>
      <c r="F48" s="589"/>
      <c r="G48" s="590">
        <f>土地案例!AL36</f>
        <v>2810</v>
      </c>
      <c r="H48" s="591"/>
      <c r="I48" s="588">
        <f>土地案例!AL56</f>
        <v>3170</v>
      </c>
      <c r="J48" s="591"/>
      <c r="K48" s="1269"/>
      <c r="L48" s="2000"/>
      <c r="M48" s="1988"/>
      <c r="N48" s="1988"/>
      <c r="O48" s="2001"/>
      <c r="P48" s="3487" t="str">
        <f>A48</f>
        <v>成交单价</v>
      </c>
      <c r="Q48" s="3487"/>
      <c r="R48" s="3488">
        <f>E48</f>
        <v>3584</v>
      </c>
      <c r="S48" s="3488"/>
      <c r="T48" s="3488">
        <f>G48</f>
        <v>2810</v>
      </c>
      <c r="U48" s="3488"/>
      <c r="V48" s="3488">
        <f>I48</f>
        <v>3170</v>
      </c>
      <c r="W48" s="3488"/>
      <c r="X48" s="1472"/>
      <c r="Y48" s="1491"/>
      <c r="Z48" s="1472"/>
      <c r="AA48" s="1472"/>
      <c r="AB48" s="1472"/>
      <c r="AC48" s="1472"/>
    </row>
    <row r="49" spans="1:29" ht="21" thickBot="1">
      <c r="A49" s="592" t="s">
        <v>2652</v>
      </c>
      <c r="B49" s="593"/>
      <c r="C49" s="594">
        <f>R50</f>
        <v>3187</v>
      </c>
      <c r="D49" s="2982" t="s">
        <v>2946</v>
      </c>
      <c r="E49" s="594">
        <f>R49</f>
        <v>3457</v>
      </c>
      <c r="F49" s="2983"/>
      <c r="G49" s="595">
        <f>T49</f>
        <v>2853</v>
      </c>
      <c r="H49" s="2983"/>
      <c r="I49" s="594">
        <f>V49</f>
        <v>3251</v>
      </c>
      <c r="J49" s="2983"/>
      <c r="K49" s="2984">
        <f>F49+H49+J49</f>
        <v>0</v>
      </c>
      <c r="L49" s="2000"/>
      <c r="M49" s="1988"/>
      <c r="N49" s="1988"/>
      <c r="O49" s="2001"/>
      <c r="P49" s="3487" t="str">
        <f>A49</f>
        <v>比较价格（元/平方米）</v>
      </c>
      <c r="Q49" s="3487"/>
      <c r="R49" s="3489">
        <f>ROUND(PRODUCT(R48,AA9:AA47),0)</f>
        <v>3457</v>
      </c>
      <c r="S49" s="3489"/>
      <c r="T49" s="3489">
        <f>ROUND(PRODUCT(T48,AB9:AB47),0)</f>
        <v>2853</v>
      </c>
      <c r="U49" s="3489"/>
      <c r="V49" s="3489">
        <f>ROUND(PRODUCT(V48,AC9:AC47),0)</f>
        <v>3251</v>
      </c>
      <c r="W49" s="3489"/>
      <c r="X49" s="1472"/>
      <c r="Y49" s="1472"/>
      <c r="Z49" s="1472"/>
      <c r="AA49" s="1472"/>
      <c r="AB49" s="1472"/>
      <c r="AC49" s="1472"/>
    </row>
    <row r="50" spans="1:29" ht="21" thickBot="1">
      <c r="A50" s="596" t="s">
        <v>2879</v>
      </c>
      <c r="B50" s="597"/>
      <c r="C50" s="598">
        <f>R50</f>
        <v>3187</v>
      </c>
      <c r="D50" s="598"/>
      <c r="E50" s="598"/>
      <c r="F50" s="598"/>
      <c r="G50" s="598"/>
      <c r="H50" s="598"/>
      <c r="I50" s="598"/>
      <c r="J50" s="598"/>
      <c r="K50" s="1270"/>
      <c r="L50" s="2000"/>
      <c r="M50" s="1988"/>
      <c r="N50" s="1988"/>
      <c r="O50" s="2001"/>
      <c r="P50" s="3484" t="str">
        <f>A50</f>
        <v>估价对象XX用房的比较价格（楼面单价，元/平方米）</v>
      </c>
      <c r="Q50" s="3485"/>
      <c r="R50" s="3486">
        <f>ROUND(IF(D49="简单平均",AVERAGE(R49:W49),R49*F49+T49*H49+V49*J49),0)</f>
        <v>3187</v>
      </c>
      <c r="S50" s="3486"/>
      <c r="T50" s="3486"/>
      <c r="U50" s="3486"/>
      <c r="V50" s="3486"/>
      <c r="W50" s="3486"/>
      <c r="X50" s="1472"/>
      <c r="Y50" s="1472"/>
      <c r="Z50" s="1472"/>
      <c r="AA50" s="1472"/>
      <c r="AB50" s="1472"/>
      <c r="AC50" s="1472"/>
    </row>
    <row r="51" spans="1:29" ht="20.25">
      <c r="A51" s="3182"/>
      <c r="B51" s="3182"/>
      <c r="C51" s="3182"/>
      <c r="D51" s="3182"/>
      <c r="E51" s="3182"/>
      <c r="F51" s="3182"/>
      <c r="G51" s="3184"/>
      <c r="H51" s="3182"/>
      <c r="I51" s="3182"/>
      <c r="J51" s="3182"/>
      <c r="K51" s="3185"/>
      <c r="L51" s="2005"/>
      <c r="M51" s="1988"/>
      <c r="N51" s="1988"/>
      <c r="O51" s="2001"/>
      <c r="P51" s="2001"/>
      <c r="Q51" s="2001"/>
      <c r="R51" s="2001"/>
      <c r="S51" s="2001"/>
      <c r="T51" s="2001"/>
      <c r="U51" s="2001"/>
      <c r="V51" s="2001"/>
      <c r="W51" s="2001"/>
      <c r="X51" s="2001"/>
      <c r="Y51" s="2001"/>
      <c r="Z51" s="2001"/>
      <c r="AA51" s="2001"/>
      <c r="AB51" s="2001"/>
      <c r="AC51" s="2001"/>
    </row>
    <row r="52" spans="1:29" ht="20.25">
      <c r="A52" s="3182"/>
      <c r="B52" s="3182"/>
      <c r="C52" s="3182"/>
      <c r="D52" s="3182"/>
      <c r="E52" s="3182"/>
      <c r="F52" s="3182"/>
      <c r="G52" s="3182"/>
      <c r="H52" s="3182"/>
      <c r="I52" s="3182"/>
      <c r="J52" s="3182"/>
      <c r="K52" s="3185"/>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f>IF(E48&lt;E49,E49/E48-1,E48/E49-1)</f>
        <v>3.6737055250216866E-2</v>
      </c>
      <c r="F53" s="602" t="str">
        <f>IF(OR(E53&gt;=0.3,E53&lt;=-0.3),"超过30%","")</f>
        <v/>
      </c>
      <c r="G53" s="601">
        <f>IF(G48&lt;G49,G49/G48-1,G48/G49-1)</f>
        <v>1.530249110320292E-2</v>
      </c>
      <c r="H53" s="602" t="str">
        <f>IF(OR(G53&gt;=0.3,G53&lt;=-0.3),"超过30%","")</f>
        <v/>
      </c>
      <c r="I53" s="601">
        <f>IF(I48&lt;I49,I49/I48-1,I48/I49-1)</f>
        <v>2.5552050473186094E-2</v>
      </c>
      <c r="J53" s="602" t="str">
        <f>IF(OR(I53&gt;=0.3,I53&lt;=-0.3),"超过30%","")</f>
        <v/>
      </c>
      <c r="K53" s="3185"/>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f>IF(E49&lt;G49,G49/E49-1,E49/G49-1)</f>
        <v>0.21170697511391512</v>
      </c>
      <c r="F54" s="602" t="str">
        <f>IF(OR(E54&gt;=0.2,E54&lt;=-0.2),"超过20%","")</f>
        <v>超过20%</v>
      </c>
      <c r="G54" s="601">
        <f>IF(G49&lt;I49,I49/G49-1,G49/I49-1)</f>
        <v>0.13950227830354023</v>
      </c>
      <c r="H54" s="602" t="str">
        <f>IF(OR(G54&gt;=0.2,G54&lt;=-0.2),"超过20%","")</f>
        <v/>
      </c>
      <c r="I54" s="601">
        <f>IF(I49&lt;E49,E49/I49-1,I49/E49-1)</f>
        <v>6.3365118425100064E-2</v>
      </c>
      <c r="J54" s="602" t="str">
        <f>IF(OR(I54&gt;=0.2,I54&lt;=-0.2),"超过20%","")</f>
        <v/>
      </c>
      <c r="K54" s="3185"/>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f>IF(E48&lt;G48,G48/E48-1,E48/G48-1)</f>
        <v>0.27544483985765122</v>
      </c>
      <c r="F55" s="602" t="str">
        <f>IF(OR(E55&gt;=0.3,E55&lt;=-0.3),"超过30%","")</f>
        <v/>
      </c>
      <c r="G55" s="601">
        <f>IF(G48&lt;I48,I48/G48-1,G48/I48-1)</f>
        <v>0.12811387900355875</v>
      </c>
      <c r="H55" s="602" t="str">
        <f>IF(OR(G55&gt;=0.3,G55&lt;=-0.3),"超过30%","")</f>
        <v/>
      </c>
      <c r="I55" s="601">
        <f>IF(I48&lt;E48,E48/I48-1,I48/E48-1)</f>
        <v>0.13059936908517344</v>
      </c>
      <c r="J55" s="602" t="str">
        <f>IF(OR(I55&gt;=0.3,I55&lt;=-0.3),"超过30%","")</f>
        <v/>
      </c>
      <c r="K55" s="3186"/>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86"/>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513" t="s">
        <v>2254</v>
      </c>
      <c r="H57" s="3514"/>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f>C50</f>
        <v>3187</v>
      </c>
      <c r="C58" s="610">
        <v>1</v>
      </c>
      <c r="D58" s="2082">
        <v>1</v>
      </c>
      <c r="E58" s="610">
        <f>'数据-汇总表'!E8+'数据-汇总表'!E9</f>
        <v>103391.18</v>
      </c>
      <c r="F58" s="611">
        <f t="shared" ref="F58:F67" si="15">ROUND(B58*E58/10000,0)</f>
        <v>32951</v>
      </c>
      <c r="G58" s="3515"/>
      <c r="H58" s="3516"/>
      <c r="I58" s="1470">
        <v>1</v>
      </c>
      <c r="J58" s="1470">
        <v>1</v>
      </c>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f>ROUND($C$50*C59*D59,0)</f>
        <v>0</v>
      </c>
      <c r="C59" s="372">
        <f t="shared" ref="C59:C67" si="16">IF($C$57="北京市系数",I59,J59)</f>
        <v>0</v>
      </c>
      <c r="D59" s="2083">
        <v>0.25</v>
      </c>
      <c r="E59" s="614">
        <v>0</v>
      </c>
      <c r="F59" s="611">
        <f t="shared" si="15"/>
        <v>0</v>
      </c>
      <c r="G59" s="3517" t="s">
        <v>2255</v>
      </c>
      <c r="H59" s="1837">
        <f>项目基本情况!B43</f>
        <v>0</v>
      </c>
      <c r="I59" s="1470">
        <f>SUMIF(修正!$A$45:$A$56,H59,修正!B45:B56)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f t="shared" ref="B60:B67" si="17">ROUND($C$50*C60*D60,0)</f>
        <v>0</v>
      </c>
      <c r="C60" s="372">
        <f t="shared" si="16"/>
        <v>0</v>
      </c>
      <c r="D60" s="2083">
        <v>0.25</v>
      </c>
      <c r="E60" s="614">
        <v>0</v>
      </c>
      <c r="F60" s="611">
        <f t="shared" si="15"/>
        <v>0</v>
      </c>
      <c r="G60" s="3517"/>
      <c r="H60" s="1837">
        <f>项目基本情况!B43</f>
        <v>0</v>
      </c>
      <c r="I60" s="1470">
        <f>SUMIF(修正!$A$45:$A$56,H60,修正!C45:C56)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f t="shared" si="17"/>
        <v>0</v>
      </c>
      <c r="C61" s="372">
        <f t="shared" si="16"/>
        <v>0</v>
      </c>
      <c r="D61" s="2083">
        <v>0.25</v>
      </c>
      <c r="E61" s="614">
        <v>0</v>
      </c>
      <c r="F61" s="611">
        <f t="shared" si="15"/>
        <v>0</v>
      </c>
      <c r="G61" s="3517"/>
      <c r="H61" s="1837">
        <f>项目基本情况!B43</f>
        <v>0</v>
      </c>
      <c r="I61" s="1470">
        <f>SUMIF(修正!$A$45:$A$56,H61,修正!D45:D56)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f t="shared" si="17"/>
        <v>0</v>
      </c>
      <c r="C62" s="372">
        <f t="shared" si="16"/>
        <v>0</v>
      </c>
      <c r="D62" s="2083">
        <v>0.25</v>
      </c>
      <c r="E62" s="614">
        <v>0</v>
      </c>
      <c r="F62" s="611">
        <f t="shared" si="15"/>
        <v>0</v>
      </c>
      <c r="G62" s="3517"/>
      <c r="H62" s="1837">
        <f>项目基本情况!B43</f>
        <v>0</v>
      </c>
      <c r="I62" s="1470">
        <f>SUMIF(修正!$A$45:$A$56,H62,修正!E45:E56)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f t="shared" si="17"/>
        <v>0</v>
      </c>
      <c r="C63" s="372">
        <f t="shared" si="16"/>
        <v>0</v>
      </c>
      <c r="D63" s="2083">
        <v>0.25</v>
      </c>
      <c r="E63" s="616">
        <f>'数据-汇总表'!E11</f>
        <v>0</v>
      </c>
      <c r="F63" s="611">
        <f t="shared" si="15"/>
        <v>0</v>
      </c>
      <c r="G63" s="1834" t="s">
        <v>2256</v>
      </c>
      <c r="H63" s="1837">
        <f>项目基本情况!C43</f>
        <v>0</v>
      </c>
      <c r="I63" s="1470">
        <f>SUMIF(修正!$A$45:$A$56,H63,修正!F45:F56)</f>
        <v>0</v>
      </c>
      <c r="J63" s="1471"/>
      <c r="K63" s="3187"/>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f t="shared" si="17"/>
        <v>0</v>
      </c>
      <c r="C64" s="372">
        <f t="shared" si="16"/>
        <v>0</v>
      </c>
      <c r="D64" s="2083">
        <v>0.25</v>
      </c>
      <c r="E64" s="616">
        <f>'数据-汇总表'!E12</f>
        <v>0</v>
      </c>
      <c r="F64" s="611">
        <f t="shared" si="15"/>
        <v>0</v>
      </c>
      <c r="G64" s="1835" t="s">
        <v>1657</v>
      </c>
      <c r="H64" s="1833">
        <f>IF(G64="商业",项目基本情况!B43,IF(G64="办公",项目基本情况!C43,IF(G64="住宅",项目基本情况!D43,项目基本情况!E43)))</f>
        <v>0</v>
      </c>
      <c r="I64" s="1470">
        <f>SUMIF(修正!$A$45:$A$56,H64,修正!G45:G56)</f>
        <v>0</v>
      </c>
      <c r="J64" s="1471"/>
      <c r="K64" s="3187"/>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f t="shared" si="17"/>
        <v>0</v>
      </c>
      <c r="C65" s="372">
        <f t="shared" si="16"/>
        <v>0</v>
      </c>
      <c r="D65" s="2083">
        <v>0.25</v>
      </c>
      <c r="E65" s="616">
        <f>'数据-汇总表'!E13</f>
        <v>0</v>
      </c>
      <c r="F65" s="611">
        <f t="shared" si="15"/>
        <v>0</v>
      </c>
      <c r="G65" s="1835" t="s">
        <v>903</v>
      </c>
      <c r="H65" s="1833">
        <f>IF(G65="商业",项目基本情况!B43,IF(G65="办公",项目基本情况!C43,IF(G65="住宅",项目基本情况!D43,项目基本情况!E43)))</f>
        <v>0</v>
      </c>
      <c r="I65" s="1470">
        <f>SUMIF(修正!$A$45:$A$56,H65,修正!H45:H56)</f>
        <v>0</v>
      </c>
      <c r="J65" s="1471"/>
      <c r="K65" s="3187"/>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f t="shared" si="17"/>
        <v>0</v>
      </c>
      <c r="C66" s="372">
        <f t="shared" si="16"/>
        <v>0</v>
      </c>
      <c r="D66" s="2083">
        <v>0.25</v>
      </c>
      <c r="E66" s="616">
        <f>'数据-汇总表'!E14</f>
        <v>0</v>
      </c>
      <c r="F66" s="611">
        <f t="shared" si="15"/>
        <v>0</v>
      </c>
      <c r="G66" s="1834" t="s">
        <v>2255</v>
      </c>
      <c r="H66" s="1837">
        <f>项目基本情况!B43</f>
        <v>0</v>
      </c>
      <c r="I66" s="1470">
        <f>SUMIF(修正!$A$45:$A$56,H66,修正!H45:H56)</f>
        <v>0</v>
      </c>
      <c r="J66" s="1471"/>
      <c r="K66" s="3187"/>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f t="shared" si="17"/>
        <v>0</v>
      </c>
      <c r="C67" s="372">
        <f t="shared" si="16"/>
        <v>0</v>
      </c>
      <c r="D67" s="2083">
        <v>0.25</v>
      </c>
      <c r="E67" s="616">
        <f>'数据-汇总表'!E15</f>
        <v>0</v>
      </c>
      <c r="F67" s="611">
        <f t="shared" si="15"/>
        <v>0</v>
      </c>
      <c r="G67" s="1836" t="s">
        <v>2256</v>
      </c>
      <c r="H67" s="1838">
        <f>项目基本情况!C43</f>
        <v>0</v>
      </c>
      <c r="I67" s="1470">
        <f>SUMIF(修正!$A$45:$A$56,H67,修正!H45:H56)</f>
        <v>0</v>
      </c>
      <c r="J67" s="1471"/>
      <c r="K67" s="3187"/>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103391.18</v>
      </c>
      <c r="F68" s="619">
        <f>IF(B48="楼面地价",SUM(F58:F67),ROUND(C50*E68/10000,0))</f>
        <v>32951</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87" t="str">
        <f>YEAR(C9)&amp;"-"&amp;MONTH(C9)&amp;"-1"</f>
        <v>2022-1-1</v>
      </c>
      <c r="D70" s="2487">
        <f>EDATE(C70,-3)</f>
        <v>44470</v>
      </c>
      <c r="E70" s="2487">
        <f t="shared" ref="E70:N70" si="18">EDATE(D70,-3)</f>
        <v>44378</v>
      </c>
      <c r="F70" s="2487">
        <f t="shared" si="18"/>
        <v>44287</v>
      </c>
      <c r="G70" s="2487">
        <f t="shared" si="18"/>
        <v>44197</v>
      </c>
      <c r="H70" s="2487">
        <f t="shared" si="18"/>
        <v>44105</v>
      </c>
      <c r="I70" s="2487">
        <f t="shared" si="18"/>
        <v>44013</v>
      </c>
      <c r="J70" s="2487">
        <f t="shared" si="18"/>
        <v>43922</v>
      </c>
      <c r="K70" s="2487">
        <f t="shared" si="18"/>
        <v>43831</v>
      </c>
      <c r="L70" s="2487">
        <f t="shared" si="18"/>
        <v>43739</v>
      </c>
      <c r="M70" s="2487">
        <f t="shared" si="18"/>
        <v>43647</v>
      </c>
      <c r="N70" s="2487">
        <f t="shared" si="18"/>
        <v>43556</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92" t="s">
        <v>2493</v>
      </c>
      <c r="B72" s="2393"/>
      <c r="C72" s="2484" t="str">
        <f>YEAR(C70)&amp;"-"&amp;ROUNDUP(MONTH(C70)/3,0)</f>
        <v>2022-1</v>
      </c>
      <c r="D72" s="2489" t="str">
        <f>YEAR(D70)&amp;"-"&amp;ROUNDUP(MONTH(D70)/3,0)</f>
        <v>2021-4</v>
      </c>
      <c r="E72" s="2489" t="str">
        <f t="shared" ref="E72:N72" si="19">YEAR(E70)&amp;"-"&amp;ROUNDUP(MONTH(E70)/3,0)</f>
        <v>2021-3</v>
      </c>
      <c r="F72" s="2489" t="str">
        <f t="shared" si="19"/>
        <v>2021-2</v>
      </c>
      <c r="G72" s="2489" t="str">
        <f t="shared" si="19"/>
        <v>2021-1</v>
      </c>
      <c r="H72" s="2489" t="str">
        <f t="shared" si="19"/>
        <v>2020-4</v>
      </c>
      <c r="I72" s="2489" t="str">
        <f t="shared" si="19"/>
        <v>2020-3</v>
      </c>
      <c r="J72" s="2489" t="str">
        <f t="shared" si="19"/>
        <v>2020-2</v>
      </c>
      <c r="K72" s="2489" t="str">
        <f t="shared" si="19"/>
        <v>2020-1</v>
      </c>
      <c r="L72" s="2489" t="str">
        <f t="shared" si="19"/>
        <v>2019-4</v>
      </c>
      <c r="M72" s="2489" t="str">
        <f t="shared" si="19"/>
        <v>2019-3</v>
      </c>
      <c r="N72" s="2489"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94" t="s">
        <v>903</v>
      </c>
      <c r="B73" s="472" t="str">
        <f>"北京市平均增长率"&amp;TEXT(SUMIF(基准地价!N21:N25,A73,基准地价!P21:P25),"0.00%")</f>
        <v>北京市平均增长率0.00%</v>
      </c>
      <c r="C73" s="866">
        <v>100</v>
      </c>
      <c r="D73" s="3293">
        <f>C73-$C$74</f>
        <v>99.75</v>
      </c>
      <c r="E73" s="3293">
        <f t="shared" ref="E73:N73" si="20">D73-$C$74</f>
        <v>99.5</v>
      </c>
      <c r="F73" s="3293">
        <f t="shared" si="20"/>
        <v>99.25</v>
      </c>
      <c r="G73" s="3293">
        <f t="shared" si="20"/>
        <v>99</v>
      </c>
      <c r="H73" s="3293">
        <f t="shared" si="20"/>
        <v>98.75</v>
      </c>
      <c r="I73" s="3293">
        <f t="shared" si="20"/>
        <v>98.5</v>
      </c>
      <c r="J73" s="3293">
        <f t="shared" si="20"/>
        <v>98.25</v>
      </c>
      <c r="K73" s="3293">
        <f t="shared" si="20"/>
        <v>98</v>
      </c>
      <c r="L73" s="3293">
        <f t="shared" si="20"/>
        <v>97.75</v>
      </c>
      <c r="M73" s="3293">
        <f t="shared" si="20"/>
        <v>97.5</v>
      </c>
      <c r="N73" s="3293">
        <f t="shared" si="20"/>
        <v>97.25</v>
      </c>
      <c r="O73" s="2017"/>
      <c r="P73" s="2013"/>
      <c r="Q73" s="1879"/>
      <c r="R73" s="1879"/>
      <c r="S73" s="1879"/>
      <c r="T73" s="1879"/>
      <c r="U73" s="1879"/>
      <c r="V73" s="1879"/>
      <c r="W73" s="1879"/>
      <c r="X73" s="1879"/>
      <c r="Y73" s="1879"/>
      <c r="Z73" s="1879"/>
      <c r="AA73" s="1879"/>
      <c r="AB73" s="1879"/>
      <c r="AC73" s="1879"/>
    </row>
    <row r="74" spans="1:29" s="1186" customFormat="1" ht="15" customHeight="1" thickBot="1">
      <c r="A74" s="2485" t="s">
        <v>2606</v>
      </c>
      <c r="B74" s="2493"/>
      <c r="C74" s="2480">
        <v>0.25</v>
      </c>
      <c r="D74" s="2481"/>
      <c r="E74" s="2481"/>
      <c r="F74" s="2481"/>
      <c r="G74" s="2481"/>
      <c r="H74" s="2481"/>
      <c r="I74" s="2481"/>
      <c r="J74" s="2481"/>
      <c r="K74" s="2481"/>
      <c r="L74" s="2481"/>
      <c r="M74" s="2481"/>
      <c r="N74" s="2481"/>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2（含）-2.5</v>
      </c>
      <c r="D81" s="657" t="str">
        <f t="shared" ref="D81:L81" si="21">D82&amp;"（含）"&amp;"-"&amp;E82</f>
        <v>2.5（含）-3</v>
      </c>
      <c r="E81" s="657" t="str">
        <f t="shared" si="21"/>
        <v>3（含）-3.5</v>
      </c>
      <c r="F81" s="657" t="str">
        <f t="shared" si="21"/>
        <v>3.5（含）-</v>
      </c>
      <c r="G81" s="657" t="str">
        <f t="shared" si="21"/>
        <v>（含）-</v>
      </c>
      <c r="H81" s="657" t="str">
        <f t="shared" si="21"/>
        <v>（含）-</v>
      </c>
      <c r="I81" s="657" t="str">
        <f t="shared" si="21"/>
        <v>（含）-</v>
      </c>
      <c r="J81" s="657" t="str">
        <f t="shared" si="21"/>
        <v>（含）-</v>
      </c>
      <c r="K81" s="657" t="str">
        <f t="shared" si="21"/>
        <v>（含）-</v>
      </c>
      <c r="L81" s="657" t="str">
        <f t="shared" si="21"/>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v>2</v>
      </c>
      <c r="D82" s="518">
        <v>2.5</v>
      </c>
      <c r="E82" s="518">
        <v>3</v>
      </c>
      <c r="F82" s="518">
        <v>3.5</v>
      </c>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95</v>
      </c>
      <c r="E83" s="654">
        <f t="shared" ref="E83:M83" si="22">IF($B$48="单位面积地价",D83+$K13,D83-$K13)</f>
        <v>90</v>
      </c>
      <c r="F83" s="654">
        <f t="shared" si="22"/>
        <v>85</v>
      </c>
      <c r="G83" s="654">
        <f t="shared" si="22"/>
        <v>80</v>
      </c>
      <c r="H83" s="654">
        <f t="shared" si="22"/>
        <v>75</v>
      </c>
      <c r="I83" s="654">
        <f t="shared" si="22"/>
        <v>70</v>
      </c>
      <c r="J83" s="654">
        <f t="shared" si="22"/>
        <v>65</v>
      </c>
      <c r="K83" s="654">
        <f t="shared" si="22"/>
        <v>60</v>
      </c>
      <c r="L83" s="654">
        <f t="shared" si="22"/>
        <v>55</v>
      </c>
      <c r="M83" s="654">
        <f t="shared" si="22"/>
        <v>50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28.5" thickTop="1">
      <c r="A86" s="662"/>
      <c r="B86" s="648" t="str">
        <f>B15</f>
        <v>商业占比</v>
      </c>
      <c r="C86" s="663" t="s">
        <v>3492</v>
      </c>
      <c r="D86" s="663" t="s">
        <v>3493</v>
      </c>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v>100</v>
      </c>
      <c r="D87" s="667">
        <v>95</v>
      </c>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0</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97</v>
      </c>
      <c r="E91" s="654">
        <f>D91-$K17</f>
        <v>94</v>
      </c>
      <c r="F91" s="654">
        <f>E91-$K17</f>
        <v>91</v>
      </c>
      <c r="G91" s="654">
        <f>F91-$K17</f>
        <v>88</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98</v>
      </c>
      <c r="E93" s="654">
        <f>D93-$K19</f>
        <v>96</v>
      </c>
      <c r="F93" s="654">
        <f>E93-$K19</f>
        <v>94</v>
      </c>
      <c r="G93" s="654">
        <f>F93-$K19</f>
        <v>92</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2509</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95</v>
      </c>
      <c r="E103" s="654">
        <f>D103-$K29</f>
        <v>90</v>
      </c>
      <c r="F103" s="654">
        <f>E103-$K29</f>
        <v>85</v>
      </c>
      <c r="G103" s="654">
        <f>F103-$K29</f>
        <v>80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412" t="s">
        <v>2511</v>
      </c>
      <c r="C104" s="2413" t="s">
        <v>2512</v>
      </c>
      <c r="D104" s="2413" t="s">
        <v>2513</v>
      </c>
      <c r="E104" s="2413" t="s">
        <v>2514</v>
      </c>
      <c r="F104" s="2413" t="s">
        <v>2515</v>
      </c>
      <c r="G104" s="2413" t="s">
        <v>2516</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405"/>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0</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0</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0</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ht="28.5">
      <c r="A118" s="639" t="s">
        <v>534</v>
      </c>
      <c r="B118" s="640" t="s">
        <v>576</v>
      </c>
      <c r="C118" s="679" t="str">
        <f t="shared" ref="C118:L118" si="26">C119&amp;"(含)"&amp;"-"&amp;D119</f>
        <v>0(含)-20000</v>
      </c>
      <c r="D118" s="679" t="str">
        <f t="shared" si="26"/>
        <v>20000(含)-50000</v>
      </c>
      <c r="E118" s="679" t="str">
        <f t="shared" si="26"/>
        <v>50000(含)-</v>
      </c>
      <c r="F118" s="679" t="str">
        <f t="shared" si="26"/>
        <v>(含)-</v>
      </c>
      <c r="G118" s="679" t="str">
        <f t="shared" si="26"/>
        <v>(含)-</v>
      </c>
      <c r="H118" s="679" t="str">
        <f t="shared" si="26"/>
        <v>(含)-</v>
      </c>
      <c r="I118" s="679" t="str">
        <f t="shared" si="26"/>
        <v>(含)-</v>
      </c>
      <c r="J118" s="2748" t="str">
        <f t="shared" si="26"/>
        <v>(含)-</v>
      </c>
      <c r="K118" s="2748" t="str">
        <f t="shared" si="26"/>
        <v>(含)-</v>
      </c>
      <c r="L118" s="2749" t="str">
        <f t="shared" si="26"/>
        <v>(含)-</v>
      </c>
      <c r="M118" s="2750"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v>0</v>
      </c>
      <c r="D119" s="705">
        <v>20000</v>
      </c>
      <c r="E119" s="705">
        <v>50000</v>
      </c>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v>100</v>
      </c>
      <c r="D120" s="701">
        <v>100.5</v>
      </c>
      <c r="E120" s="701">
        <v>101</v>
      </c>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7">C122-$K41</f>
        <v>100</v>
      </c>
      <c r="E122" s="654">
        <f t="shared" si="27"/>
        <v>100</v>
      </c>
      <c r="F122" s="654">
        <f t="shared" si="27"/>
        <v>100</v>
      </c>
      <c r="G122" s="654">
        <f t="shared" si="27"/>
        <v>100</v>
      </c>
      <c r="H122" s="654">
        <f t="shared" si="27"/>
        <v>100</v>
      </c>
      <c r="I122" s="654">
        <f t="shared" si="27"/>
        <v>100</v>
      </c>
      <c r="J122" s="654">
        <f t="shared" si="27"/>
        <v>100</v>
      </c>
      <c r="K122" s="654">
        <f t="shared" si="27"/>
        <v>100</v>
      </c>
      <c r="L122" s="654">
        <f t="shared" si="27"/>
        <v>100</v>
      </c>
      <c r="M122" s="655">
        <f t="shared" si="27"/>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8">C124-$K42</f>
        <v>100</v>
      </c>
      <c r="E124" s="654">
        <f t="shared" si="28"/>
        <v>100</v>
      </c>
      <c r="F124" s="654">
        <f t="shared" si="28"/>
        <v>100</v>
      </c>
      <c r="G124" s="654">
        <f t="shared" si="28"/>
        <v>100</v>
      </c>
      <c r="H124" s="654">
        <f t="shared" si="28"/>
        <v>100</v>
      </c>
      <c r="I124" s="654">
        <f t="shared" si="28"/>
        <v>100</v>
      </c>
      <c r="J124" s="654">
        <f t="shared" si="28"/>
        <v>100</v>
      </c>
      <c r="K124" s="654">
        <f t="shared" si="28"/>
        <v>100</v>
      </c>
      <c r="L124" s="654">
        <f t="shared" si="28"/>
        <v>100</v>
      </c>
      <c r="M124" s="655">
        <f t="shared" si="28"/>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9">D126-$K43</f>
        <v>100</v>
      </c>
      <c r="F126" s="654">
        <f t="shared" si="29"/>
        <v>100</v>
      </c>
      <c r="G126" s="654">
        <f t="shared" si="29"/>
        <v>100</v>
      </c>
      <c r="H126" s="654">
        <f t="shared" si="29"/>
        <v>100</v>
      </c>
      <c r="I126" s="654">
        <f t="shared" si="29"/>
        <v>100</v>
      </c>
      <c r="J126" s="654">
        <f t="shared" si="29"/>
        <v>100</v>
      </c>
      <c r="K126" s="654">
        <f t="shared" si="29"/>
        <v>100</v>
      </c>
      <c r="L126" s="654">
        <f t="shared" si="29"/>
        <v>100</v>
      </c>
      <c r="M126" s="655">
        <f t="shared" si="29"/>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30">C128-$K44</f>
        <v>100</v>
      </c>
      <c r="E128" s="654">
        <f t="shared" si="30"/>
        <v>100</v>
      </c>
      <c r="F128" s="654">
        <f t="shared" si="30"/>
        <v>100</v>
      </c>
      <c r="G128" s="654">
        <f t="shared" si="30"/>
        <v>100</v>
      </c>
      <c r="H128" s="654">
        <f t="shared" si="30"/>
        <v>100</v>
      </c>
      <c r="I128" s="654">
        <f t="shared" si="30"/>
        <v>100</v>
      </c>
      <c r="J128" s="654">
        <f t="shared" si="30"/>
        <v>100</v>
      </c>
      <c r="K128" s="654">
        <f t="shared" si="30"/>
        <v>100</v>
      </c>
      <c r="L128" s="654">
        <f t="shared" si="30"/>
        <v>100</v>
      </c>
      <c r="M128" s="655">
        <f t="shared" si="30"/>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0</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0</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0</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T151"/>
  <sheetViews>
    <sheetView topLeftCell="AE6" zoomScale="115" zoomScaleNormal="115" workbookViewId="0">
      <selection activeCell="AD37" sqref="AD37:AT37"/>
    </sheetView>
  </sheetViews>
  <sheetFormatPr defaultRowHeight="13.5"/>
  <cols>
    <col min="1" max="1" width="32" customWidth="1"/>
    <col min="2" max="2" width="15" customWidth="1"/>
    <col min="3" max="4" width="0" hidden="1" customWidth="1"/>
    <col min="5" max="5" width="9" customWidth="1"/>
    <col min="6" max="7" width="0" hidden="1" customWidth="1"/>
    <col min="8" max="9" width="17.5" customWidth="1"/>
    <col min="10" max="10" width="29.25" customWidth="1"/>
    <col min="11" max="11" width="0" hidden="1" customWidth="1"/>
    <col min="12" max="12" width="29.875" customWidth="1"/>
    <col min="13" max="22" width="0" hidden="1" customWidth="1"/>
    <col min="23" max="26" width="13.625" hidden="1" customWidth="1"/>
    <col min="27" max="27" width="13.625" customWidth="1"/>
    <col min="28" max="29" width="0" hidden="1" customWidth="1"/>
    <col min="30" max="30" width="36.375" customWidth="1"/>
    <col min="31" max="31" width="28.75" customWidth="1"/>
    <col min="32" max="34" width="0" hidden="1" customWidth="1"/>
    <col min="35" max="35" width="11" hidden="1" customWidth="1"/>
    <col min="36" max="36" width="21.875" customWidth="1"/>
    <col min="37" max="37" width="18.625" hidden="1" customWidth="1"/>
    <col min="38" max="38" width="20.125" customWidth="1"/>
    <col min="39" max="40" width="0" hidden="1" customWidth="1"/>
    <col min="42" max="42" width="16.125" customWidth="1"/>
  </cols>
  <sheetData>
    <row r="1" spans="1:44" ht="14.25">
      <c r="A1" s="3525" t="s">
        <v>3005</v>
      </c>
      <c r="B1" s="3525" t="s">
        <v>3006</v>
      </c>
      <c r="C1" s="3525" t="s">
        <v>3007</v>
      </c>
      <c r="D1" s="3525" t="s">
        <v>3008</v>
      </c>
      <c r="E1" s="3525" t="s">
        <v>3009</v>
      </c>
      <c r="F1" s="3525" t="s">
        <v>3010</v>
      </c>
      <c r="G1" s="3525" t="s">
        <v>3011</v>
      </c>
      <c r="H1" s="3525" t="s">
        <v>3012</v>
      </c>
      <c r="I1" s="3525" t="s">
        <v>3013</v>
      </c>
      <c r="J1" s="3525" t="s">
        <v>2006</v>
      </c>
      <c r="K1" s="3525" t="s">
        <v>3014</v>
      </c>
      <c r="L1" s="3525" t="s">
        <v>3015</v>
      </c>
      <c r="M1" s="3525" t="s">
        <v>3016</v>
      </c>
      <c r="N1" s="3525" t="s">
        <v>3017</v>
      </c>
      <c r="O1" s="3525" t="s">
        <v>3018</v>
      </c>
      <c r="P1" s="3525" t="s">
        <v>3019</v>
      </c>
      <c r="Q1" s="3525" t="s">
        <v>3020</v>
      </c>
      <c r="R1" s="3525" t="s">
        <v>3021</v>
      </c>
      <c r="S1" s="3525" t="s">
        <v>3022</v>
      </c>
      <c r="T1" s="3525" t="s">
        <v>3023</v>
      </c>
      <c r="U1" s="3525" t="s">
        <v>3024</v>
      </c>
      <c r="V1" s="3525" t="s">
        <v>3025</v>
      </c>
      <c r="W1" s="3525" t="s">
        <v>3026</v>
      </c>
      <c r="X1" s="3525" t="s">
        <v>3027</v>
      </c>
      <c r="Y1" s="3525" t="s">
        <v>3028</v>
      </c>
      <c r="Z1" s="3525" t="s">
        <v>3029</v>
      </c>
      <c r="AA1" s="3525" t="s">
        <v>3030</v>
      </c>
      <c r="AB1" s="3525" t="s">
        <v>3031</v>
      </c>
      <c r="AC1" s="3525" t="s">
        <v>3032</v>
      </c>
      <c r="AD1" s="3525" t="s">
        <v>3033</v>
      </c>
      <c r="AE1" s="3525" t="s">
        <v>3034</v>
      </c>
      <c r="AF1" s="3525" t="s">
        <v>3035</v>
      </c>
      <c r="AG1" s="3525" t="s">
        <v>3036</v>
      </c>
      <c r="AH1" s="3525" t="s">
        <v>3037</v>
      </c>
      <c r="AI1" s="3525" t="s">
        <v>3038</v>
      </c>
      <c r="AJ1" s="3525" t="s">
        <v>3039</v>
      </c>
      <c r="AK1" s="3525" t="s">
        <v>3040</v>
      </c>
      <c r="AL1" s="3525" t="s">
        <v>3041</v>
      </c>
      <c r="AM1" s="3525" t="s">
        <v>3042</v>
      </c>
      <c r="AN1" s="3525" t="s">
        <v>3043</v>
      </c>
      <c r="AO1" s="3525" t="s">
        <v>3044</v>
      </c>
      <c r="AP1" s="3525" t="s">
        <v>3045</v>
      </c>
      <c r="AQ1" s="3525" t="s">
        <v>3046</v>
      </c>
      <c r="AR1" s="3525" t="s">
        <v>3047</v>
      </c>
    </row>
    <row r="2" spans="1:44" ht="14.25">
      <c r="A2" s="3525">
        <v>2021027001</v>
      </c>
      <c r="B2" s="3525">
        <v>2021027001</v>
      </c>
      <c r="C2" s="3525" t="s">
        <v>3048</v>
      </c>
      <c r="D2" s="3525" t="s">
        <v>3169</v>
      </c>
      <c r="E2" s="3525" t="s">
        <v>3356</v>
      </c>
      <c r="F2" s="3525" t="s">
        <v>3050</v>
      </c>
      <c r="G2" s="3525" t="s">
        <v>3051</v>
      </c>
      <c r="H2" s="3525">
        <v>16823</v>
      </c>
      <c r="I2" s="3525">
        <v>38692.9</v>
      </c>
      <c r="J2" s="3525" t="s">
        <v>3357</v>
      </c>
      <c r="K2" s="3525" t="s">
        <v>3358</v>
      </c>
      <c r="L2" s="3525" t="s">
        <v>3359</v>
      </c>
      <c r="M2" s="3525" t="s">
        <v>3052</v>
      </c>
      <c r="N2" s="3525" t="s">
        <v>3053</v>
      </c>
      <c r="O2" s="3525" t="s">
        <v>3054</v>
      </c>
      <c r="P2" s="3525" t="s">
        <v>3055</v>
      </c>
      <c r="Q2" s="3525" t="s">
        <v>3056</v>
      </c>
      <c r="R2" s="3525" t="s">
        <v>3056</v>
      </c>
      <c r="S2" s="3525" t="s">
        <v>3056</v>
      </c>
      <c r="T2" s="3525" t="s">
        <v>3056</v>
      </c>
      <c r="U2" s="3525" t="s">
        <v>3056</v>
      </c>
      <c r="V2" s="3525" t="s">
        <v>3056</v>
      </c>
      <c r="W2" s="3525" t="s">
        <v>3056</v>
      </c>
      <c r="X2" s="3527">
        <v>44465.000497685185</v>
      </c>
      <c r="Y2" s="3527">
        <v>44486.000497685185</v>
      </c>
      <c r="Z2" s="3527">
        <v>44496.000497685185</v>
      </c>
      <c r="AA2" s="3527">
        <v>44496.000497685185</v>
      </c>
      <c r="AB2" s="3525" t="s">
        <v>3057</v>
      </c>
      <c r="AC2" s="3525" t="s">
        <v>3058</v>
      </c>
      <c r="AD2" s="3525" t="s">
        <v>3360</v>
      </c>
      <c r="AE2" s="3525" t="s">
        <v>2776</v>
      </c>
      <c r="AF2" s="3525">
        <v>4562.3900000000003</v>
      </c>
      <c r="AG2" s="3525">
        <v>1000</v>
      </c>
      <c r="AH2" s="3525">
        <v>4562.3900000000003</v>
      </c>
      <c r="AI2" s="3525">
        <v>180.8</v>
      </c>
      <c r="AJ2" s="3525">
        <v>180.8</v>
      </c>
      <c r="AK2" s="3525">
        <v>1179</v>
      </c>
      <c r="AL2" s="3525">
        <v>1179</v>
      </c>
      <c r="AM2" s="3525" t="s">
        <v>3056</v>
      </c>
      <c r="AN2" s="3525" t="s">
        <v>3056</v>
      </c>
      <c r="AO2" s="3525">
        <v>0</v>
      </c>
      <c r="AP2" s="3525" t="s">
        <v>3059</v>
      </c>
      <c r="AQ2" s="3525">
        <v>0</v>
      </c>
      <c r="AR2" s="3525">
        <v>0</v>
      </c>
    </row>
    <row r="3" spans="1:44" s="3292" customFormat="1" ht="14.25" hidden="1" customHeight="1">
      <c r="A3" s="3526">
        <v>2021021001</v>
      </c>
      <c r="B3" s="3526">
        <v>2021021001</v>
      </c>
      <c r="C3" s="3525" t="s">
        <v>3048</v>
      </c>
      <c r="D3" s="3525" t="s">
        <v>3049</v>
      </c>
      <c r="E3" s="3526" t="s">
        <v>3361</v>
      </c>
      <c r="F3" s="3525" t="s">
        <v>3060</v>
      </c>
      <c r="G3" s="3525" t="s">
        <v>3051</v>
      </c>
      <c r="H3" s="3526">
        <v>32295</v>
      </c>
      <c r="I3" s="3526">
        <v>58131</v>
      </c>
      <c r="J3" s="3526" t="s">
        <v>3362</v>
      </c>
      <c r="K3" s="3525" t="s">
        <v>3358</v>
      </c>
      <c r="L3" s="3526" t="s">
        <v>3363</v>
      </c>
      <c r="M3" s="3525" t="s">
        <v>3052</v>
      </c>
      <c r="N3" s="3525" t="s">
        <v>3053</v>
      </c>
      <c r="O3" s="3525" t="s">
        <v>3056</v>
      </c>
      <c r="P3" s="3525" t="s">
        <v>3055</v>
      </c>
      <c r="Q3" s="3525" t="s">
        <v>3056</v>
      </c>
      <c r="R3" s="3525" t="s">
        <v>3056</v>
      </c>
      <c r="S3" s="3525" t="s">
        <v>3056</v>
      </c>
      <c r="T3" s="3525" t="s">
        <v>3056</v>
      </c>
      <c r="U3" s="3525" t="s">
        <v>3056</v>
      </c>
      <c r="V3" s="3525" t="s">
        <v>3056</v>
      </c>
      <c r="W3" s="3525" t="s">
        <v>3056</v>
      </c>
      <c r="X3" s="3527">
        <v>44404.000497685185</v>
      </c>
      <c r="Y3" s="3527">
        <v>44424.000497685185</v>
      </c>
      <c r="Z3" s="3527">
        <v>44433.000497685185</v>
      </c>
      <c r="AA3" s="3528">
        <v>44433.000497685185</v>
      </c>
      <c r="AB3" s="3525" t="s">
        <v>3061</v>
      </c>
      <c r="AC3" s="3525" t="s">
        <v>3058</v>
      </c>
      <c r="AD3" s="3526" t="s">
        <v>3364</v>
      </c>
      <c r="AE3" s="3526" t="s">
        <v>2776</v>
      </c>
      <c r="AF3" s="3525">
        <v>9591.6200000000008</v>
      </c>
      <c r="AG3" s="3525">
        <v>2000</v>
      </c>
      <c r="AH3" s="3525">
        <v>9591.6200000000008</v>
      </c>
      <c r="AI3" s="3525">
        <v>198</v>
      </c>
      <c r="AJ3" s="3526">
        <v>198</v>
      </c>
      <c r="AK3" s="3525">
        <v>1650</v>
      </c>
      <c r="AL3" s="3526">
        <v>1650</v>
      </c>
      <c r="AM3" s="3525" t="s">
        <v>3056</v>
      </c>
      <c r="AN3" s="3525" t="s">
        <v>3056</v>
      </c>
      <c r="AO3" s="3526">
        <v>0</v>
      </c>
      <c r="AP3" s="3526" t="s">
        <v>3059</v>
      </c>
      <c r="AQ3" s="3526">
        <v>0</v>
      </c>
      <c r="AR3" s="3526">
        <v>0</v>
      </c>
    </row>
    <row r="4" spans="1:44" s="3292" customFormat="1" ht="14.25" hidden="1" customHeight="1">
      <c r="A4" s="3526" t="s">
        <v>3062</v>
      </c>
      <c r="B4" s="3526">
        <v>2021001003</v>
      </c>
      <c r="C4" s="3525" t="s">
        <v>3048</v>
      </c>
      <c r="D4" s="3525" t="s">
        <v>3049</v>
      </c>
      <c r="E4" s="3526" t="s">
        <v>3365</v>
      </c>
      <c r="F4" s="3525" t="s">
        <v>3063</v>
      </c>
      <c r="G4" s="3525" t="s">
        <v>3051</v>
      </c>
      <c r="H4" s="3526">
        <v>2076</v>
      </c>
      <c r="I4" s="3526">
        <v>6228</v>
      </c>
      <c r="J4" s="3526" t="s">
        <v>3366</v>
      </c>
      <c r="K4" s="3525" t="s">
        <v>3358</v>
      </c>
      <c r="L4" s="3526" t="s">
        <v>3367</v>
      </c>
      <c r="M4" s="3525" t="s">
        <v>3052</v>
      </c>
      <c r="N4" s="3525" t="s">
        <v>3053</v>
      </c>
      <c r="O4" s="3525" t="s">
        <v>3064</v>
      </c>
      <c r="P4" s="3525" t="s">
        <v>3056</v>
      </c>
      <c r="Q4" s="3525" t="s">
        <v>3056</v>
      </c>
      <c r="R4" s="3525" t="s">
        <v>3056</v>
      </c>
      <c r="S4" s="3525" t="s">
        <v>3056</v>
      </c>
      <c r="T4" s="3525" t="s">
        <v>3056</v>
      </c>
      <c r="U4" s="3525" t="s">
        <v>3056</v>
      </c>
      <c r="V4" s="3525" t="s">
        <v>3056</v>
      </c>
      <c r="W4" s="3525" t="s">
        <v>3056</v>
      </c>
      <c r="X4" s="3527">
        <v>44204.000497685185</v>
      </c>
      <c r="Y4" s="3527">
        <v>44224.000497685185</v>
      </c>
      <c r="Z4" s="3527">
        <v>44233.000497685185</v>
      </c>
      <c r="AA4" s="3528">
        <v>44233.000497685185</v>
      </c>
      <c r="AB4" s="3525" t="s">
        <v>3065</v>
      </c>
      <c r="AC4" s="3525" t="s">
        <v>3058</v>
      </c>
      <c r="AD4" s="3526" t="s">
        <v>3368</v>
      </c>
      <c r="AE4" s="3526" t="s">
        <v>2776</v>
      </c>
      <c r="AF4" s="3525">
        <v>1868.4</v>
      </c>
      <c r="AG4" s="3525">
        <v>500</v>
      </c>
      <c r="AH4" s="3525">
        <v>1868.4</v>
      </c>
      <c r="AI4" s="3525">
        <v>600</v>
      </c>
      <c r="AJ4" s="3526">
        <v>600</v>
      </c>
      <c r="AK4" s="3525">
        <v>3000</v>
      </c>
      <c r="AL4" s="3526">
        <v>3000</v>
      </c>
      <c r="AM4" s="3525" t="s">
        <v>3056</v>
      </c>
      <c r="AN4" s="3525" t="s">
        <v>3056</v>
      </c>
      <c r="AO4" s="3526">
        <v>0</v>
      </c>
      <c r="AP4" s="3526" t="s">
        <v>3059</v>
      </c>
      <c r="AQ4" s="3526">
        <v>0</v>
      </c>
      <c r="AR4" s="3526">
        <v>0</v>
      </c>
    </row>
    <row r="5" spans="1:44" s="3292" customFormat="1" ht="14.25" hidden="1" customHeight="1">
      <c r="A5" s="3526" t="s">
        <v>3481</v>
      </c>
      <c r="B5" s="3526">
        <v>2021001005</v>
      </c>
      <c r="C5" s="3525" t="s">
        <v>3048</v>
      </c>
      <c r="D5" s="3525" t="s">
        <v>3049</v>
      </c>
      <c r="E5" s="3526" t="s">
        <v>3365</v>
      </c>
      <c r="F5" s="3525" t="s">
        <v>3067</v>
      </c>
      <c r="G5" s="3525" t="s">
        <v>3051</v>
      </c>
      <c r="H5" s="3526">
        <v>16245</v>
      </c>
      <c r="I5" s="3526">
        <v>48735</v>
      </c>
      <c r="J5" s="3526" t="s">
        <v>3366</v>
      </c>
      <c r="K5" s="3525" t="s">
        <v>3358</v>
      </c>
      <c r="L5" s="3526" t="s">
        <v>3367</v>
      </c>
      <c r="M5" s="3525" t="s">
        <v>3052</v>
      </c>
      <c r="N5" s="3525" t="s">
        <v>3053</v>
      </c>
      <c r="O5" s="3525" t="s">
        <v>3064</v>
      </c>
      <c r="P5" s="3525" t="s">
        <v>3056</v>
      </c>
      <c r="Q5" s="3525" t="s">
        <v>3056</v>
      </c>
      <c r="R5" s="3525" t="s">
        <v>3056</v>
      </c>
      <c r="S5" s="3525" t="s">
        <v>3056</v>
      </c>
      <c r="T5" s="3525" t="s">
        <v>3056</v>
      </c>
      <c r="U5" s="3525" t="s">
        <v>3056</v>
      </c>
      <c r="V5" s="3525" t="s">
        <v>3056</v>
      </c>
      <c r="W5" s="3525" t="s">
        <v>3056</v>
      </c>
      <c r="X5" s="3527">
        <v>44204.000497685185</v>
      </c>
      <c r="Y5" s="3527">
        <v>44224.000497685185</v>
      </c>
      <c r="Z5" s="3527">
        <v>44233.000497685185</v>
      </c>
      <c r="AA5" s="3528">
        <v>44233.000497685185</v>
      </c>
      <c r="AB5" s="3525" t="s">
        <v>3065</v>
      </c>
      <c r="AC5" s="3525" t="s">
        <v>3058</v>
      </c>
      <c r="AD5" s="3526" t="s">
        <v>3368</v>
      </c>
      <c r="AE5" s="3526" t="s">
        <v>2776</v>
      </c>
      <c r="AF5" s="3525">
        <v>14620.5</v>
      </c>
      <c r="AG5" s="3525">
        <v>4000</v>
      </c>
      <c r="AH5" s="3525">
        <v>14620.5</v>
      </c>
      <c r="AI5" s="3525">
        <v>600</v>
      </c>
      <c r="AJ5" s="3526">
        <v>600</v>
      </c>
      <c r="AK5" s="3525">
        <v>3000</v>
      </c>
      <c r="AL5" s="3526">
        <v>3000</v>
      </c>
      <c r="AM5" s="3525" t="s">
        <v>3056</v>
      </c>
      <c r="AN5" s="3525" t="s">
        <v>3056</v>
      </c>
      <c r="AO5" s="3526">
        <v>0</v>
      </c>
      <c r="AP5" s="3526" t="s">
        <v>3059</v>
      </c>
      <c r="AQ5" s="3526">
        <v>0</v>
      </c>
      <c r="AR5" s="3526">
        <v>0</v>
      </c>
    </row>
    <row r="6" spans="1:44" ht="14.25">
      <c r="A6" s="3525" t="s">
        <v>3068</v>
      </c>
      <c r="B6" s="3525">
        <v>2021001001</v>
      </c>
      <c r="C6" s="3525" t="s">
        <v>3048</v>
      </c>
      <c r="D6" s="3525" t="s">
        <v>3049</v>
      </c>
      <c r="E6" s="3525" t="s">
        <v>3356</v>
      </c>
      <c r="F6" s="3525" t="s">
        <v>3069</v>
      </c>
      <c r="G6" s="3525" t="s">
        <v>3051</v>
      </c>
      <c r="H6" s="3525">
        <v>7151.9</v>
      </c>
      <c r="I6" s="3525">
        <v>21455.7</v>
      </c>
      <c r="J6" s="3525" t="s">
        <v>3366</v>
      </c>
      <c r="K6" s="3525" t="s">
        <v>3358</v>
      </c>
      <c r="L6" s="3525" t="s">
        <v>3367</v>
      </c>
      <c r="M6" s="3525" t="s">
        <v>3052</v>
      </c>
      <c r="N6" s="3525" t="s">
        <v>3053</v>
      </c>
      <c r="O6" s="3525" t="s">
        <v>3064</v>
      </c>
      <c r="P6" s="3525" t="s">
        <v>3056</v>
      </c>
      <c r="Q6" s="3525" t="s">
        <v>3056</v>
      </c>
      <c r="R6" s="3525" t="s">
        <v>3056</v>
      </c>
      <c r="S6" s="3525" t="s">
        <v>3056</v>
      </c>
      <c r="T6" s="3525" t="s">
        <v>3056</v>
      </c>
      <c r="U6" s="3525" t="s">
        <v>3056</v>
      </c>
      <c r="V6" s="3525" t="s">
        <v>3056</v>
      </c>
      <c r="W6" s="3525" t="s">
        <v>3056</v>
      </c>
      <c r="X6" s="3527">
        <v>44204.000497685185</v>
      </c>
      <c r="Y6" s="3527">
        <v>44224.000497685185</v>
      </c>
      <c r="Z6" s="3527">
        <v>44233.000497685185</v>
      </c>
      <c r="AA6" s="3527">
        <v>44233.000497685185</v>
      </c>
      <c r="AB6" s="3525" t="s">
        <v>3065</v>
      </c>
      <c r="AC6" s="3525" t="s">
        <v>3058</v>
      </c>
      <c r="AD6" s="3525" t="s">
        <v>3360</v>
      </c>
      <c r="AE6" s="3525" t="s">
        <v>2776</v>
      </c>
      <c r="AF6" s="3525">
        <v>6794.31</v>
      </c>
      <c r="AG6" s="3525">
        <v>2000</v>
      </c>
      <c r="AH6" s="3525">
        <v>6794.31</v>
      </c>
      <c r="AI6" s="3525">
        <v>633.33000000000004</v>
      </c>
      <c r="AJ6" s="3525">
        <v>633.33000000000004</v>
      </c>
      <c r="AK6" s="3525">
        <v>3167</v>
      </c>
      <c r="AL6" s="3525">
        <v>3167</v>
      </c>
      <c r="AM6" s="3525" t="s">
        <v>3056</v>
      </c>
      <c r="AN6" s="3525" t="s">
        <v>3056</v>
      </c>
      <c r="AO6" s="3525">
        <v>0</v>
      </c>
      <c r="AP6" s="3525" t="s">
        <v>3059</v>
      </c>
      <c r="AQ6" s="3525">
        <v>0</v>
      </c>
      <c r="AR6" s="3525">
        <v>0</v>
      </c>
    </row>
    <row r="7" spans="1:44" s="3292" customFormat="1" ht="14.25" hidden="1" customHeight="1">
      <c r="A7" s="3526" t="s">
        <v>3066</v>
      </c>
      <c r="B7" s="3526">
        <v>2021001004</v>
      </c>
      <c r="C7" s="3525" t="s">
        <v>3048</v>
      </c>
      <c r="D7" s="3525" t="s">
        <v>3049</v>
      </c>
      <c r="E7" s="3526" t="s">
        <v>3365</v>
      </c>
      <c r="F7" s="3525" t="s">
        <v>3067</v>
      </c>
      <c r="G7" s="3525" t="s">
        <v>3051</v>
      </c>
      <c r="H7" s="3526">
        <v>16246</v>
      </c>
      <c r="I7" s="3526">
        <v>48738</v>
      </c>
      <c r="J7" s="3526" t="s">
        <v>3366</v>
      </c>
      <c r="K7" s="3525" t="s">
        <v>3358</v>
      </c>
      <c r="L7" s="3526" t="s">
        <v>3367</v>
      </c>
      <c r="M7" s="3525" t="s">
        <v>3052</v>
      </c>
      <c r="N7" s="3525" t="s">
        <v>3053</v>
      </c>
      <c r="O7" s="3525" t="s">
        <v>3064</v>
      </c>
      <c r="P7" s="3525" t="s">
        <v>3056</v>
      </c>
      <c r="Q7" s="3525" t="s">
        <v>3056</v>
      </c>
      <c r="R7" s="3525" t="s">
        <v>3056</v>
      </c>
      <c r="S7" s="3525" t="s">
        <v>3056</v>
      </c>
      <c r="T7" s="3525" t="s">
        <v>3056</v>
      </c>
      <c r="U7" s="3525" t="s">
        <v>3056</v>
      </c>
      <c r="V7" s="3525" t="s">
        <v>3056</v>
      </c>
      <c r="W7" s="3525" t="s">
        <v>3056</v>
      </c>
      <c r="X7" s="3527">
        <v>44204.000497685185</v>
      </c>
      <c r="Y7" s="3527">
        <v>44224.000497685185</v>
      </c>
      <c r="Z7" s="3527">
        <v>44233.000497685185</v>
      </c>
      <c r="AA7" s="3528">
        <v>44233.000497685185</v>
      </c>
      <c r="AB7" s="3525" t="s">
        <v>3065</v>
      </c>
      <c r="AC7" s="3525" t="s">
        <v>3058</v>
      </c>
      <c r="AD7" s="3526" t="s">
        <v>3368</v>
      </c>
      <c r="AE7" s="3526" t="s">
        <v>2776</v>
      </c>
      <c r="AF7" s="3525">
        <v>14621.39</v>
      </c>
      <c r="AG7" s="3525">
        <v>4000</v>
      </c>
      <c r="AH7" s="3525">
        <v>14621.39</v>
      </c>
      <c r="AI7" s="3525">
        <v>600</v>
      </c>
      <c r="AJ7" s="3526">
        <v>600</v>
      </c>
      <c r="AK7" s="3525">
        <v>3000</v>
      </c>
      <c r="AL7" s="3526">
        <v>3000</v>
      </c>
      <c r="AM7" s="3525" t="s">
        <v>3056</v>
      </c>
      <c r="AN7" s="3525" t="s">
        <v>3056</v>
      </c>
      <c r="AO7" s="3526">
        <v>0</v>
      </c>
      <c r="AP7" s="3526" t="s">
        <v>3059</v>
      </c>
      <c r="AQ7" s="3526">
        <v>0</v>
      </c>
      <c r="AR7" s="3526">
        <v>0</v>
      </c>
    </row>
    <row r="8" spans="1:44" s="3216" customFormat="1" ht="14.25">
      <c r="A8" s="3529" t="s">
        <v>3070</v>
      </c>
      <c r="B8" s="3529">
        <v>2021001002</v>
      </c>
      <c r="C8" s="3525" t="s">
        <v>3048</v>
      </c>
      <c r="D8" s="3525" t="s">
        <v>3049</v>
      </c>
      <c r="E8" s="3529" t="s">
        <v>3356</v>
      </c>
      <c r="F8" s="3525" t="s">
        <v>3071</v>
      </c>
      <c r="G8" s="3525" t="s">
        <v>3051</v>
      </c>
      <c r="H8" s="3529">
        <v>9432.7000000000007</v>
      </c>
      <c r="I8" s="3529">
        <v>28298.1</v>
      </c>
      <c r="J8" s="3529" t="s">
        <v>3366</v>
      </c>
      <c r="K8" s="3525" t="s">
        <v>3358</v>
      </c>
      <c r="L8" s="3529" t="s">
        <v>3367</v>
      </c>
      <c r="M8" s="3525" t="s">
        <v>3052</v>
      </c>
      <c r="N8" s="3525" t="s">
        <v>3053</v>
      </c>
      <c r="O8" s="3525" t="s">
        <v>3064</v>
      </c>
      <c r="P8" s="3525" t="s">
        <v>3056</v>
      </c>
      <c r="Q8" s="3525" t="s">
        <v>3056</v>
      </c>
      <c r="R8" s="3525" t="s">
        <v>3056</v>
      </c>
      <c r="S8" s="3525" t="s">
        <v>3056</v>
      </c>
      <c r="T8" s="3525" t="s">
        <v>3056</v>
      </c>
      <c r="U8" s="3525" t="s">
        <v>3056</v>
      </c>
      <c r="V8" s="3525" t="s">
        <v>3056</v>
      </c>
      <c r="W8" s="3525" t="s">
        <v>3056</v>
      </c>
      <c r="X8" s="3527">
        <v>44204.000497685185</v>
      </c>
      <c r="Y8" s="3527">
        <v>44224.000497685185</v>
      </c>
      <c r="Z8" s="3527">
        <v>44233.000497685185</v>
      </c>
      <c r="AA8" s="3530">
        <v>44233.000497685185</v>
      </c>
      <c r="AB8" s="3525" t="s">
        <v>3065</v>
      </c>
      <c r="AC8" s="3525" t="s">
        <v>3058</v>
      </c>
      <c r="AD8" s="3529" t="s">
        <v>3360</v>
      </c>
      <c r="AE8" s="3529" t="s">
        <v>2776</v>
      </c>
      <c r="AF8" s="3525">
        <v>8961.06</v>
      </c>
      <c r="AG8" s="3525">
        <v>3000</v>
      </c>
      <c r="AH8" s="3525">
        <v>8961.06</v>
      </c>
      <c r="AI8" s="3525">
        <v>633.33000000000004</v>
      </c>
      <c r="AJ8" s="3529">
        <v>633.33000000000004</v>
      </c>
      <c r="AK8" s="3525">
        <v>3167</v>
      </c>
      <c r="AL8" s="3529">
        <v>3167</v>
      </c>
      <c r="AM8" s="3525" t="s">
        <v>3056</v>
      </c>
      <c r="AN8" s="3525" t="s">
        <v>3056</v>
      </c>
      <c r="AO8" s="3529">
        <v>0</v>
      </c>
      <c r="AP8" s="3529" t="s">
        <v>3059</v>
      </c>
      <c r="AQ8" s="3529">
        <v>0</v>
      </c>
      <c r="AR8" s="3529">
        <v>0</v>
      </c>
    </row>
    <row r="9" spans="1:44" s="3216" customFormat="1" ht="14.25">
      <c r="A9" s="3529" t="s">
        <v>3072</v>
      </c>
      <c r="B9" s="3529">
        <v>2020053001</v>
      </c>
      <c r="C9" s="3525" t="s">
        <v>3048</v>
      </c>
      <c r="D9" s="3525" t="s">
        <v>3049</v>
      </c>
      <c r="E9" s="3529" t="s">
        <v>3369</v>
      </c>
      <c r="F9" s="3525" t="s">
        <v>3073</v>
      </c>
      <c r="G9" s="3525" t="s">
        <v>3051</v>
      </c>
      <c r="H9" s="3529">
        <v>23960</v>
      </c>
      <c r="I9" s="3529">
        <v>43128</v>
      </c>
      <c r="J9" s="3529" t="s">
        <v>3370</v>
      </c>
      <c r="K9" s="3525" t="s">
        <v>3358</v>
      </c>
      <c r="L9" s="3529" t="s">
        <v>3367</v>
      </c>
      <c r="M9" s="3525" t="s">
        <v>3052</v>
      </c>
      <c r="N9" s="3525" t="s">
        <v>3053</v>
      </c>
      <c r="O9" s="3525" t="s">
        <v>3056</v>
      </c>
      <c r="P9" s="3525" t="s">
        <v>3056</v>
      </c>
      <c r="Q9" s="3525" t="s">
        <v>3056</v>
      </c>
      <c r="R9" s="3525" t="s">
        <v>3056</v>
      </c>
      <c r="S9" s="3525" t="s">
        <v>3056</v>
      </c>
      <c r="T9" s="3525" t="s">
        <v>3056</v>
      </c>
      <c r="U9" s="3525" t="s">
        <v>3056</v>
      </c>
      <c r="V9" s="3525" t="s">
        <v>3056</v>
      </c>
      <c r="W9" s="3525" t="s">
        <v>3056</v>
      </c>
      <c r="X9" s="3527">
        <v>44196.000497685185</v>
      </c>
      <c r="Y9" s="3527">
        <v>44216.000497685185</v>
      </c>
      <c r="Z9" s="3527">
        <v>44225.000497685185</v>
      </c>
      <c r="AA9" s="3530">
        <v>44225.000497685185</v>
      </c>
      <c r="AB9" s="3525" t="s">
        <v>3074</v>
      </c>
      <c r="AC9" s="3525" t="s">
        <v>3058</v>
      </c>
      <c r="AD9" s="3529" t="s">
        <v>3371</v>
      </c>
      <c r="AE9" s="3529" t="s">
        <v>3372</v>
      </c>
      <c r="AF9" s="3525">
        <v>28752</v>
      </c>
      <c r="AG9" s="3525">
        <v>9000</v>
      </c>
      <c r="AH9" s="3525">
        <v>32250.15</v>
      </c>
      <c r="AI9" s="3525">
        <v>800</v>
      </c>
      <c r="AJ9" s="3529">
        <v>897.33</v>
      </c>
      <c r="AK9" s="3525">
        <v>6667</v>
      </c>
      <c r="AL9" s="3529">
        <v>7478</v>
      </c>
      <c r="AM9" s="3525" t="s">
        <v>3056</v>
      </c>
      <c r="AN9" s="3525" t="s">
        <v>3056</v>
      </c>
      <c r="AO9" s="3529">
        <v>12.17</v>
      </c>
      <c r="AP9" s="3529" t="s">
        <v>3059</v>
      </c>
      <c r="AQ9" s="3529">
        <v>0</v>
      </c>
      <c r="AR9" s="3529">
        <v>0</v>
      </c>
    </row>
    <row r="10" spans="1:44" s="3292" customFormat="1" ht="14.25" hidden="1" customHeight="1">
      <c r="A10" s="3526" t="s">
        <v>3075</v>
      </c>
      <c r="B10" s="3526">
        <v>2020051001</v>
      </c>
      <c r="C10" s="3525" t="s">
        <v>3048</v>
      </c>
      <c r="D10" s="3525" t="s">
        <v>3049</v>
      </c>
      <c r="E10" s="3526" t="s">
        <v>3365</v>
      </c>
      <c r="F10" s="3525" t="s">
        <v>3076</v>
      </c>
      <c r="G10" s="3525" t="s">
        <v>3051</v>
      </c>
      <c r="H10" s="3526">
        <v>759.94</v>
      </c>
      <c r="I10" s="3526">
        <v>2431.81</v>
      </c>
      <c r="J10" s="3526" t="s">
        <v>3373</v>
      </c>
      <c r="K10" s="3525" t="s">
        <v>3358</v>
      </c>
      <c r="L10" s="3526" t="s">
        <v>3374</v>
      </c>
      <c r="M10" s="3525" t="s">
        <v>3052</v>
      </c>
      <c r="N10" s="3525" t="s">
        <v>3053</v>
      </c>
      <c r="O10" s="3525" t="s">
        <v>3077</v>
      </c>
      <c r="P10" s="3525" t="s">
        <v>3056</v>
      </c>
      <c r="Q10" s="3525" t="s">
        <v>3056</v>
      </c>
      <c r="R10" s="3525" t="s">
        <v>3056</v>
      </c>
      <c r="S10" s="3525" t="s">
        <v>3056</v>
      </c>
      <c r="T10" s="3525" t="s">
        <v>3056</v>
      </c>
      <c r="U10" s="3525" t="s">
        <v>3056</v>
      </c>
      <c r="V10" s="3525" t="s">
        <v>3056</v>
      </c>
      <c r="W10" s="3525" t="s">
        <v>3056</v>
      </c>
      <c r="X10" s="3527">
        <v>44181.000497685185</v>
      </c>
      <c r="Y10" s="3527">
        <v>44201.000497685185</v>
      </c>
      <c r="Z10" s="3527">
        <v>44210.000497685185</v>
      </c>
      <c r="AA10" s="3528">
        <v>44210.000497685185</v>
      </c>
      <c r="AB10" s="3525" t="s">
        <v>3078</v>
      </c>
      <c r="AC10" s="3525" t="s">
        <v>3058</v>
      </c>
      <c r="AD10" s="3526" t="s">
        <v>3368</v>
      </c>
      <c r="AE10" s="3526" t="s">
        <v>2776</v>
      </c>
      <c r="AF10" s="3525">
        <v>410.37</v>
      </c>
      <c r="AG10" s="3525">
        <v>100</v>
      </c>
      <c r="AH10" s="3525">
        <v>410.37</v>
      </c>
      <c r="AI10" s="3525">
        <v>360</v>
      </c>
      <c r="AJ10" s="3526">
        <v>360</v>
      </c>
      <c r="AK10" s="3525">
        <v>1688</v>
      </c>
      <c r="AL10" s="3526">
        <v>1688</v>
      </c>
      <c r="AM10" s="3525" t="s">
        <v>3056</v>
      </c>
      <c r="AN10" s="3525" t="s">
        <v>3056</v>
      </c>
      <c r="AO10" s="3526">
        <v>0</v>
      </c>
      <c r="AP10" s="3526" t="s">
        <v>3059</v>
      </c>
      <c r="AQ10" s="3526">
        <v>0</v>
      </c>
      <c r="AR10" s="3526">
        <v>0</v>
      </c>
    </row>
    <row r="11" spans="1:44" s="3292" customFormat="1" ht="14.25" hidden="1" customHeight="1">
      <c r="A11" s="3526" t="s">
        <v>3079</v>
      </c>
      <c r="B11" s="3526">
        <v>2020051002</v>
      </c>
      <c r="C11" s="3525" t="s">
        <v>3048</v>
      </c>
      <c r="D11" s="3525" t="s">
        <v>3049</v>
      </c>
      <c r="E11" s="3526" t="s">
        <v>3365</v>
      </c>
      <c r="F11" s="3525" t="s">
        <v>3080</v>
      </c>
      <c r="G11" s="3525" t="s">
        <v>3051</v>
      </c>
      <c r="H11" s="3526">
        <v>1409.15</v>
      </c>
      <c r="I11" s="3526">
        <v>4509.28</v>
      </c>
      <c r="J11" s="3526" t="s">
        <v>3373</v>
      </c>
      <c r="K11" s="3525" t="s">
        <v>3358</v>
      </c>
      <c r="L11" s="3526" t="s">
        <v>3374</v>
      </c>
      <c r="M11" s="3525" t="s">
        <v>3052</v>
      </c>
      <c r="N11" s="3525" t="s">
        <v>3053</v>
      </c>
      <c r="O11" s="3525" t="s">
        <v>3077</v>
      </c>
      <c r="P11" s="3525" t="s">
        <v>3056</v>
      </c>
      <c r="Q11" s="3525" t="s">
        <v>3056</v>
      </c>
      <c r="R11" s="3525" t="s">
        <v>3056</v>
      </c>
      <c r="S11" s="3525" t="s">
        <v>3056</v>
      </c>
      <c r="T11" s="3525" t="s">
        <v>3056</v>
      </c>
      <c r="U11" s="3525" t="s">
        <v>3056</v>
      </c>
      <c r="V11" s="3525" t="s">
        <v>3056</v>
      </c>
      <c r="W11" s="3525" t="s">
        <v>3056</v>
      </c>
      <c r="X11" s="3527">
        <v>44181.000497685185</v>
      </c>
      <c r="Y11" s="3527">
        <v>44201.000497685185</v>
      </c>
      <c r="Z11" s="3527">
        <v>44210.000497685185</v>
      </c>
      <c r="AA11" s="3528">
        <v>44210.000497685185</v>
      </c>
      <c r="AB11" s="3525" t="s">
        <v>3078</v>
      </c>
      <c r="AC11" s="3525" t="s">
        <v>3058</v>
      </c>
      <c r="AD11" s="3526" t="s">
        <v>3368</v>
      </c>
      <c r="AE11" s="3526" t="s">
        <v>2776</v>
      </c>
      <c r="AF11" s="3525">
        <v>760.94</v>
      </c>
      <c r="AG11" s="3525">
        <v>200</v>
      </c>
      <c r="AH11" s="3525">
        <v>760.94</v>
      </c>
      <c r="AI11" s="3525">
        <v>360</v>
      </c>
      <c r="AJ11" s="3526">
        <v>360</v>
      </c>
      <c r="AK11" s="3525">
        <v>1687</v>
      </c>
      <c r="AL11" s="3526">
        <v>1688</v>
      </c>
      <c r="AM11" s="3525" t="s">
        <v>3056</v>
      </c>
      <c r="AN11" s="3525" t="s">
        <v>3056</v>
      </c>
      <c r="AO11" s="3526">
        <v>0</v>
      </c>
      <c r="AP11" s="3526" t="s">
        <v>3059</v>
      </c>
      <c r="AQ11" s="3526">
        <v>0</v>
      </c>
      <c r="AR11" s="3526">
        <v>0</v>
      </c>
    </row>
    <row r="12" spans="1:44" s="3292" customFormat="1" ht="14.25" hidden="1" customHeight="1">
      <c r="A12" s="3526" t="s">
        <v>3081</v>
      </c>
      <c r="B12" s="3526">
        <v>2020047001</v>
      </c>
      <c r="C12" s="3525" t="s">
        <v>3048</v>
      </c>
      <c r="D12" s="3525" t="s">
        <v>3049</v>
      </c>
      <c r="E12" s="3526" t="s">
        <v>3361</v>
      </c>
      <c r="F12" s="3525" t="s">
        <v>3082</v>
      </c>
      <c r="G12" s="3525" t="s">
        <v>3051</v>
      </c>
      <c r="H12" s="3526">
        <v>48</v>
      </c>
      <c r="I12" s="3526">
        <v>67.2</v>
      </c>
      <c r="J12" s="3526" t="s">
        <v>3375</v>
      </c>
      <c r="K12" s="3525" t="s">
        <v>3358</v>
      </c>
      <c r="L12" s="3526" t="s">
        <v>3376</v>
      </c>
      <c r="M12" s="3525" t="s">
        <v>3052</v>
      </c>
      <c r="N12" s="3525" t="s">
        <v>3053</v>
      </c>
      <c r="O12" s="3525" t="s">
        <v>3056</v>
      </c>
      <c r="P12" s="3525" t="s">
        <v>3056</v>
      </c>
      <c r="Q12" s="3525" t="s">
        <v>3056</v>
      </c>
      <c r="R12" s="3525" t="s">
        <v>3056</v>
      </c>
      <c r="S12" s="3525" t="s">
        <v>3056</v>
      </c>
      <c r="T12" s="3525" t="s">
        <v>3056</v>
      </c>
      <c r="U12" s="3525" t="s">
        <v>3056</v>
      </c>
      <c r="V12" s="3525" t="s">
        <v>3056</v>
      </c>
      <c r="W12" s="3525" t="s">
        <v>3056</v>
      </c>
      <c r="X12" s="3527">
        <v>44162.000497685185</v>
      </c>
      <c r="Y12" s="3527">
        <v>44182.000497685185</v>
      </c>
      <c r="Z12" s="3527">
        <v>44191.000497685185</v>
      </c>
      <c r="AA12" s="3528">
        <v>44191.000497685185</v>
      </c>
      <c r="AB12" s="3525" t="s">
        <v>3083</v>
      </c>
      <c r="AC12" s="3525" t="s">
        <v>3058</v>
      </c>
      <c r="AD12" s="3526" t="s">
        <v>3377</v>
      </c>
      <c r="AE12" s="3526" t="s">
        <v>2776</v>
      </c>
      <c r="AF12" s="3525">
        <v>8</v>
      </c>
      <c r="AG12" s="3525">
        <v>2</v>
      </c>
      <c r="AH12" s="3525">
        <v>8</v>
      </c>
      <c r="AI12" s="3525">
        <v>111.11</v>
      </c>
      <c r="AJ12" s="3526">
        <v>111.11</v>
      </c>
      <c r="AK12" s="3525">
        <v>1190</v>
      </c>
      <c r="AL12" s="3526">
        <v>1190</v>
      </c>
      <c r="AM12" s="3525" t="s">
        <v>3056</v>
      </c>
      <c r="AN12" s="3525" t="s">
        <v>3056</v>
      </c>
      <c r="AO12" s="3526">
        <v>0</v>
      </c>
      <c r="AP12" s="3526" t="s">
        <v>3059</v>
      </c>
      <c r="AQ12" s="3526">
        <v>0</v>
      </c>
      <c r="AR12" s="3526">
        <v>0</v>
      </c>
    </row>
    <row r="13" spans="1:44" s="3292" customFormat="1" ht="14.25" hidden="1" customHeight="1">
      <c r="A13" s="3526" t="s">
        <v>3084</v>
      </c>
      <c r="B13" s="3526">
        <v>2020044001</v>
      </c>
      <c r="C13" s="3525" t="s">
        <v>3048</v>
      </c>
      <c r="D13" s="3525" t="s">
        <v>3049</v>
      </c>
      <c r="E13" s="3526" t="s">
        <v>3378</v>
      </c>
      <c r="F13" s="3525" t="s">
        <v>3085</v>
      </c>
      <c r="G13" s="3525" t="s">
        <v>3051</v>
      </c>
      <c r="H13" s="3526">
        <v>66667</v>
      </c>
      <c r="I13" s="3526">
        <v>100000.5</v>
      </c>
      <c r="J13" s="3526" t="s">
        <v>3379</v>
      </c>
      <c r="K13" s="3525" t="s">
        <v>3358</v>
      </c>
      <c r="L13" s="3526" t="s">
        <v>3367</v>
      </c>
      <c r="M13" s="3525" t="s">
        <v>3052</v>
      </c>
      <c r="N13" s="3525" t="s">
        <v>3053</v>
      </c>
      <c r="O13" s="3525" t="s">
        <v>3056</v>
      </c>
      <c r="P13" s="3525" t="s">
        <v>3056</v>
      </c>
      <c r="Q13" s="3525" t="s">
        <v>3056</v>
      </c>
      <c r="R13" s="3525" t="s">
        <v>3056</v>
      </c>
      <c r="S13" s="3525" t="s">
        <v>3056</v>
      </c>
      <c r="T13" s="3525" t="s">
        <v>3056</v>
      </c>
      <c r="U13" s="3525" t="s">
        <v>3056</v>
      </c>
      <c r="V13" s="3525" t="s">
        <v>3056</v>
      </c>
      <c r="W13" s="3525" t="s">
        <v>3056</v>
      </c>
      <c r="X13" s="3527">
        <v>44146.000497685185</v>
      </c>
      <c r="Y13" s="3527">
        <v>44166.000497685185</v>
      </c>
      <c r="Z13" s="3527">
        <v>44175.000497685185</v>
      </c>
      <c r="AA13" s="3528">
        <v>44175.000497685185</v>
      </c>
      <c r="AB13" s="3525" t="s">
        <v>3086</v>
      </c>
      <c r="AC13" s="3525" t="s">
        <v>3058</v>
      </c>
      <c r="AD13" s="3526" t="s">
        <v>3380</v>
      </c>
      <c r="AE13" s="3526" t="s">
        <v>2776</v>
      </c>
      <c r="AF13" s="3525">
        <v>5000.0200000000004</v>
      </c>
      <c r="AG13" s="3525">
        <v>1500</v>
      </c>
      <c r="AH13" s="3525">
        <v>5000.0200000000004</v>
      </c>
      <c r="AI13" s="3525">
        <v>50</v>
      </c>
      <c r="AJ13" s="3526">
        <v>50</v>
      </c>
      <c r="AK13" s="3525">
        <v>500</v>
      </c>
      <c r="AL13" s="3526">
        <v>500</v>
      </c>
      <c r="AM13" s="3525" t="s">
        <v>3056</v>
      </c>
      <c r="AN13" s="3525" t="s">
        <v>3056</v>
      </c>
      <c r="AO13" s="3526">
        <v>0</v>
      </c>
      <c r="AP13" s="3526" t="s">
        <v>3059</v>
      </c>
      <c r="AQ13" s="3526">
        <v>0</v>
      </c>
      <c r="AR13" s="3526">
        <v>0</v>
      </c>
    </row>
    <row r="14" spans="1:44" s="3292" customFormat="1" ht="14.25" hidden="1" customHeight="1">
      <c r="A14" s="3526" t="s">
        <v>3087</v>
      </c>
      <c r="B14" s="3526">
        <v>2020043001</v>
      </c>
      <c r="C14" s="3525" t="s">
        <v>3048</v>
      </c>
      <c r="D14" s="3525" t="s">
        <v>3049</v>
      </c>
      <c r="E14" s="3526" t="s">
        <v>3365</v>
      </c>
      <c r="F14" s="3525" t="s">
        <v>3088</v>
      </c>
      <c r="G14" s="3525" t="s">
        <v>3051</v>
      </c>
      <c r="H14" s="3526">
        <v>15578.74</v>
      </c>
      <c r="I14" s="3526">
        <v>23368.11</v>
      </c>
      <c r="J14" s="3526" t="s">
        <v>3379</v>
      </c>
      <c r="K14" s="3525" t="s">
        <v>3358</v>
      </c>
      <c r="L14" s="3526" t="s">
        <v>3367</v>
      </c>
      <c r="M14" s="3525" t="s">
        <v>3052</v>
      </c>
      <c r="N14" s="3525" t="s">
        <v>3053</v>
      </c>
      <c r="O14" s="3525" t="s">
        <v>3056</v>
      </c>
      <c r="P14" s="3525" t="s">
        <v>3056</v>
      </c>
      <c r="Q14" s="3525" t="s">
        <v>3056</v>
      </c>
      <c r="R14" s="3525" t="s">
        <v>3056</v>
      </c>
      <c r="S14" s="3525" t="s">
        <v>3056</v>
      </c>
      <c r="T14" s="3525" t="s">
        <v>3056</v>
      </c>
      <c r="U14" s="3525" t="s">
        <v>3056</v>
      </c>
      <c r="V14" s="3525" t="s">
        <v>3056</v>
      </c>
      <c r="W14" s="3525" t="s">
        <v>3056</v>
      </c>
      <c r="X14" s="3527">
        <v>44138.000497685185</v>
      </c>
      <c r="Y14" s="3527">
        <v>44158.000497685185</v>
      </c>
      <c r="Z14" s="3527">
        <v>44167.000497685185</v>
      </c>
      <c r="AA14" s="3528">
        <v>44167.000497685185</v>
      </c>
      <c r="AB14" s="3525" t="s">
        <v>3089</v>
      </c>
      <c r="AC14" s="3525" t="s">
        <v>3058</v>
      </c>
      <c r="AD14" s="3526" t="s">
        <v>3381</v>
      </c>
      <c r="AE14" s="3526" t="s">
        <v>2776</v>
      </c>
      <c r="AF14" s="3525">
        <v>1230.72</v>
      </c>
      <c r="AG14" s="3525">
        <v>300</v>
      </c>
      <c r="AH14" s="3525">
        <v>1370.93</v>
      </c>
      <c r="AI14" s="3525">
        <v>52.67</v>
      </c>
      <c r="AJ14" s="3526">
        <v>58.67</v>
      </c>
      <c r="AK14" s="3525">
        <v>527</v>
      </c>
      <c r="AL14" s="3526">
        <v>587</v>
      </c>
      <c r="AM14" s="3525" t="s">
        <v>3056</v>
      </c>
      <c r="AN14" s="3525" t="s">
        <v>3056</v>
      </c>
      <c r="AO14" s="3526">
        <v>11.39</v>
      </c>
      <c r="AP14" s="3526" t="s">
        <v>3059</v>
      </c>
      <c r="AQ14" s="3526">
        <v>0</v>
      </c>
      <c r="AR14" s="3526">
        <v>0</v>
      </c>
    </row>
    <row r="15" spans="1:44" s="3216" customFormat="1" ht="14.25">
      <c r="A15" s="3529" t="s">
        <v>3090</v>
      </c>
      <c r="B15" s="3529">
        <v>2020040001</v>
      </c>
      <c r="C15" s="3525" t="s">
        <v>3048</v>
      </c>
      <c r="D15" s="3525" t="s">
        <v>3049</v>
      </c>
      <c r="E15" s="3529" t="s">
        <v>3382</v>
      </c>
      <c r="F15" s="3525" t="s">
        <v>3091</v>
      </c>
      <c r="G15" s="3525" t="s">
        <v>3051</v>
      </c>
      <c r="H15" s="3529">
        <v>39871</v>
      </c>
      <c r="I15" s="3529">
        <v>79742</v>
      </c>
      <c r="J15" s="3529" t="s">
        <v>3383</v>
      </c>
      <c r="K15" s="3525" t="s">
        <v>3358</v>
      </c>
      <c r="L15" s="3529" t="s">
        <v>3367</v>
      </c>
      <c r="M15" s="3525" t="s">
        <v>3052</v>
      </c>
      <c r="N15" s="3525" t="s">
        <v>3053</v>
      </c>
      <c r="O15" s="3525" t="s">
        <v>3056</v>
      </c>
      <c r="P15" s="3525" t="s">
        <v>3056</v>
      </c>
      <c r="Q15" s="3525" t="s">
        <v>3056</v>
      </c>
      <c r="R15" s="3525" t="s">
        <v>3056</v>
      </c>
      <c r="S15" s="3525" t="s">
        <v>3056</v>
      </c>
      <c r="T15" s="3525" t="s">
        <v>3056</v>
      </c>
      <c r="U15" s="3525" t="s">
        <v>3056</v>
      </c>
      <c r="V15" s="3525" t="s">
        <v>3056</v>
      </c>
      <c r="W15" s="3525" t="s">
        <v>3056</v>
      </c>
      <c r="X15" s="3527">
        <v>44133.000497685185</v>
      </c>
      <c r="Y15" s="3527">
        <v>44153.000497685185</v>
      </c>
      <c r="Z15" s="3527">
        <v>44162.000497685185</v>
      </c>
      <c r="AA15" s="3530">
        <v>44162.000497685185</v>
      </c>
      <c r="AB15" s="3525" t="s">
        <v>3092</v>
      </c>
      <c r="AC15" s="3525" t="s">
        <v>3058</v>
      </c>
      <c r="AD15" s="3529" t="s">
        <v>3384</v>
      </c>
      <c r="AE15" s="3529" t="s">
        <v>3385</v>
      </c>
      <c r="AF15" s="3525">
        <v>53825.84</v>
      </c>
      <c r="AG15" s="3525">
        <v>15000</v>
      </c>
      <c r="AH15" s="3525">
        <v>88952.19</v>
      </c>
      <c r="AI15" s="3525">
        <v>900</v>
      </c>
      <c r="AJ15" s="3529">
        <v>1487.33</v>
      </c>
      <c r="AK15" s="3525">
        <v>6750</v>
      </c>
      <c r="AL15" s="3529">
        <v>11155</v>
      </c>
      <c r="AM15" s="3525" t="s">
        <v>3056</v>
      </c>
      <c r="AN15" s="3525" t="s">
        <v>3056</v>
      </c>
      <c r="AO15" s="3529">
        <v>65.260000000000005</v>
      </c>
      <c r="AP15" s="3529" t="s">
        <v>3059</v>
      </c>
      <c r="AQ15" s="3529">
        <v>0</v>
      </c>
      <c r="AR15" s="3529">
        <v>0</v>
      </c>
    </row>
    <row r="16" spans="1:44" s="3216" customFormat="1" ht="14.25">
      <c r="A16" s="3529" t="s">
        <v>3093</v>
      </c>
      <c r="B16" s="3529">
        <v>2020040002</v>
      </c>
      <c r="C16" s="3525" t="s">
        <v>3048</v>
      </c>
      <c r="D16" s="3525" t="s">
        <v>3049</v>
      </c>
      <c r="E16" s="3529" t="s">
        <v>3382</v>
      </c>
      <c r="F16" s="3525" t="s">
        <v>3094</v>
      </c>
      <c r="G16" s="3525" t="s">
        <v>3051</v>
      </c>
      <c r="H16" s="3529">
        <v>41176</v>
      </c>
      <c r="I16" s="3529">
        <v>74116.800000000003</v>
      </c>
      <c r="J16" s="3529" t="s">
        <v>3370</v>
      </c>
      <c r="K16" s="3525" t="s">
        <v>3358</v>
      </c>
      <c r="L16" s="3529" t="s">
        <v>3367</v>
      </c>
      <c r="M16" s="3525" t="s">
        <v>3052</v>
      </c>
      <c r="N16" s="3525" t="s">
        <v>3053</v>
      </c>
      <c r="O16" s="3525" t="s">
        <v>3056</v>
      </c>
      <c r="P16" s="3525" t="s">
        <v>3056</v>
      </c>
      <c r="Q16" s="3525" t="s">
        <v>3056</v>
      </c>
      <c r="R16" s="3525" t="s">
        <v>3056</v>
      </c>
      <c r="S16" s="3525" t="s">
        <v>3056</v>
      </c>
      <c r="T16" s="3525" t="s">
        <v>3056</v>
      </c>
      <c r="U16" s="3525" t="s">
        <v>3056</v>
      </c>
      <c r="V16" s="3525" t="s">
        <v>3056</v>
      </c>
      <c r="W16" s="3525" t="s">
        <v>3056</v>
      </c>
      <c r="X16" s="3527">
        <v>44133.000497685185</v>
      </c>
      <c r="Y16" s="3527">
        <v>44153.000497685185</v>
      </c>
      <c r="Z16" s="3527">
        <v>44162.000497685185</v>
      </c>
      <c r="AA16" s="3530">
        <v>44162.000497685185</v>
      </c>
      <c r="AB16" s="3525" t="s">
        <v>3092</v>
      </c>
      <c r="AC16" s="3525" t="s">
        <v>3058</v>
      </c>
      <c r="AD16" s="3529" t="s">
        <v>3386</v>
      </c>
      <c r="AE16" s="3529" t="s">
        <v>3387</v>
      </c>
      <c r="AF16" s="3525">
        <v>55587.59</v>
      </c>
      <c r="AG16" s="3525">
        <v>15000</v>
      </c>
      <c r="AH16" s="3525">
        <v>82846.11</v>
      </c>
      <c r="AI16" s="3525">
        <v>900</v>
      </c>
      <c r="AJ16" s="3529">
        <v>1341.33</v>
      </c>
      <c r="AK16" s="3525">
        <v>7500</v>
      </c>
      <c r="AL16" s="3529">
        <v>11178</v>
      </c>
      <c r="AM16" s="3525" t="s">
        <v>3056</v>
      </c>
      <c r="AN16" s="3525" t="s">
        <v>3056</v>
      </c>
      <c r="AO16" s="3529">
        <v>49.04</v>
      </c>
      <c r="AP16" s="3529" t="s">
        <v>3059</v>
      </c>
      <c r="AQ16" s="3529">
        <v>0</v>
      </c>
      <c r="AR16" s="3529">
        <v>0</v>
      </c>
    </row>
    <row r="17" spans="1:46" s="3298" customFormat="1" ht="14.25">
      <c r="A17" s="3537" t="s">
        <v>3095</v>
      </c>
      <c r="B17" s="3537">
        <v>2020038001</v>
      </c>
      <c r="C17" s="3525" t="s">
        <v>3048</v>
      </c>
      <c r="D17" s="3525" t="s">
        <v>3049</v>
      </c>
      <c r="E17" s="3537" t="s">
        <v>3382</v>
      </c>
      <c r="F17" s="3525" t="s">
        <v>3096</v>
      </c>
      <c r="G17" s="3525" t="s">
        <v>3051</v>
      </c>
      <c r="H17" s="3537">
        <v>36500</v>
      </c>
      <c r="I17" s="3537">
        <v>80300</v>
      </c>
      <c r="J17" s="3537" t="s">
        <v>3388</v>
      </c>
      <c r="K17" s="3525" t="s">
        <v>3358</v>
      </c>
      <c r="L17" s="3537" t="s">
        <v>3367</v>
      </c>
      <c r="M17" s="3525" t="s">
        <v>3052</v>
      </c>
      <c r="N17" s="3525" t="s">
        <v>3053</v>
      </c>
      <c r="O17" s="3525" t="s">
        <v>3056</v>
      </c>
      <c r="P17" s="3525" t="s">
        <v>3056</v>
      </c>
      <c r="Q17" s="3525" t="s">
        <v>3056</v>
      </c>
      <c r="R17" s="3525" t="s">
        <v>3056</v>
      </c>
      <c r="S17" s="3525" t="s">
        <v>3056</v>
      </c>
      <c r="T17" s="3525" t="s">
        <v>3056</v>
      </c>
      <c r="U17" s="3525" t="s">
        <v>3056</v>
      </c>
      <c r="V17" s="3525" t="s">
        <v>3056</v>
      </c>
      <c r="W17" s="3525" t="s">
        <v>3056</v>
      </c>
      <c r="X17" s="3527">
        <v>44127.000497685185</v>
      </c>
      <c r="Y17" s="3527">
        <v>44148.000497685185</v>
      </c>
      <c r="Z17" s="3527">
        <v>44158.000497685185</v>
      </c>
      <c r="AA17" s="3538">
        <v>44158.000497685185</v>
      </c>
      <c r="AB17" s="3525" t="s">
        <v>3097</v>
      </c>
      <c r="AC17" s="3525" t="s">
        <v>3058</v>
      </c>
      <c r="AD17" s="3537" t="s">
        <v>3389</v>
      </c>
      <c r="AE17" s="3537" t="s">
        <v>3390</v>
      </c>
      <c r="AF17" s="3525">
        <v>24090</v>
      </c>
      <c r="AG17" s="3525">
        <v>6000</v>
      </c>
      <c r="AH17" s="3525">
        <v>39566</v>
      </c>
      <c r="AI17" s="3525">
        <v>440</v>
      </c>
      <c r="AJ17" s="3537">
        <v>722.67</v>
      </c>
      <c r="AK17" s="3525">
        <v>3000</v>
      </c>
      <c r="AL17" s="3537">
        <v>4927</v>
      </c>
      <c r="AM17" s="3525" t="s">
        <v>3056</v>
      </c>
      <c r="AN17" s="3525" t="s">
        <v>3056</v>
      </c>
      <c r="AO17" s="3537">
        <v>64.239999999999995</v>
      </c>
      <c r="AP17" s="3537" t="s">
        <v>3059</v>
      </c>
      <c r="AQ17" s="3537">
        <v>0</v>
      </c>
      <c r="AR17" s="3537">
        <v>0</v>
      </c>
      <c r="AS17" s="3298">
        <f>AL17/1.64</f>
        <v>3004.268292682927</v>
      </c>
      <c r="AT17" s="3298">
        <f>AJ17/1.64</f>
        <v>440.65243902439022</v>
      </c>
    </row>
    <row r="18" spans="1:46" s="3292" customFormat="1" ht="14.25" hidden="1" customHeight="1">
      <c r="A18" s="3526" t="s">
        <v>3098</v>
      </c>
      <c r="B18" s="3526">
        <v>2020039001</v>
      </c>
      <c r="C18" s="3525" t="s">
        <v>3048</v>
      </c>
      <c r="D18" s="3525" t="s">
        <v>3049</v>
      </c>
      <c r="E18" s="3526" t="s">
        <v>3378</v>
      </c>
      <c r="F18" s="3525" t="s">
        <v>3099</v>
      </c>
      <c r="G18" s="3525" t="s">
        <v>3051</v>
      </c>
      <c r="H18" s="3526">
        <v>9947.91</v>
      </c>
      <c r="I18" s="3526">
        <v>17906.240000000002</v>
      </c>
      <c r="J18" s="3526" t="s">
        <v>3370</v>
      </c>
      <c r="K18" s="3525" t="s">
        <v>3358</v>
      </c>
      <c r="L18" s="3526" t="s">
        <v>3367</v>
      </c>
      <c r="M18" s="3525" t="s">
        <v>3052</v>
      </c>
      <c r="N18" s="3525" t="s">
        <v>3053</v>
      </c>
      <c r="O18" s="3525" t="s">
        <v>3056</v>
      </c>
      <c r="P18" s="3525" t="s">
        <v>3056</v>
      </c>
      <c r="Q18" s="3525" t="s">
        <v>3056</v>
      </c>
      <c r="R18" s="3525" t="s">
        <v>3056</v>
      </c>
      <c r="S18" s="3525" t="s">
        <v>3056</v>
      </c>
      <c r="T18" s="3525" t="s">
        <v>3056</v>
      </c>
      <c r="U18" s="3525" t="s">
        <v>3056</v>
      </c>
      <c r="V18" s="3525" t="s">
        <v>3056</v>
      </c>
      <c r="W18" s="3525" t="s">
        <v>3056</v>
      </c>
      <c r="X18" s="3527">
        <v>44124.000497685185</v>
      </c>
      <c r="Y18" s="3527">
        <v>44144.000497685185</v>
      </c>
      <c r="Z18" s="3527">
        <v>44153.000497685185</v>
      </c>
      <c r="AA18" s="3528">
        <v>44153.000497685185</v>
      </c>
      <c r="AB18" s="3525" t="s">
        <v>3100</v>
      </c>
      <c r="AC18" s="3525" t="s">
        <v>3058</v>
      </c>
      <c r="AD18" s="3526" t="s">
        <v>3391</v>
      </c>
      <c r="AE18" s="3526" t="s">
        <v>2776</v>
      </c>
      <c r="AF18" s="3525">
        <v>895.3</v>
      </c>
      <c r="AG18" s="3525">
        <v>220</v>
      </c>
      <c r="AH18" s="3525">
        <v>895.3</v>
      </c>
      <c r="AI18" s="3525">
        <v>60</v>
      </c>
      <c r="AJ18" s="3526">
        <v>60</v>
      </c>
      <c r="AK18" s="3525">
        <v>500</v>
      </c>
      <c r="AL18" s="3526">
        <v>500</v>
      </c>
      <c r="AM18" s="3525" t="s">
        <v>3056</v>
      </c>
      <c r="AN18" s="3525" t="s">
        <v>3056</v>
      </c>
      <c r="AO18" s="3526">
        <v>0</v>
      </c>
      <c r="AP18" s="3526" t="s">
        <v>3059</v>
      </c>
      <c r="AQ18" s="3526">
        <v>0</v>
      </c>
      <c r="AR18" s="3526">
        <v>0</v>
      </c>
    </row>
    <row r="19" spans="1:46" s="3216" customFormat="1" ht="14.25">
      <c r="A19" s="3529" t="s">
        <v>3101</v>
      </c>
      <c r="B19" s="3529">
        <v>2020036001</v>
      </c>
      <c r="C19" s="3525" t="s">
        <v>3048</v>
      </c>
      <c r="D19" s="3525" t="s">
        <v>3049</v>
      </c>
      <c r="E19" s="3529" t="s">
        <v>3382</v>
      </c>
      <c r="F19" s="3525" t="s">
        <v>3102</v>
      </c>
      <c r="G19" s="3525" t="s">
        <v>3051</v>
      </c>
      <c r="H19" s="3529">
        <v>14307</v>
      </c>
      <c r="I19" s="3529">
        <v>28614</v>
      </c>
      <c r="J19" s="3529" t="s">
        <v>3383</v>
      </c>
      <c r="K19" s="3525" t="s">
        <v>3358</v>
      </c>
      <c r="L19" s="3529" t="s">
        <v>3367</v>
      </c>
      <c r="M19" s="3525" t="s">
        <v>3052</v>
      </c>
      <c r="N19" s="3525" t="s">
        <v>3053</v>
      </c>
      <c r="O19" s="3525" t="s">
        <v>3056</v>
      </c>
      <c r="P19" s="3525" t="s">
        <v>3056</v>
      </c>
      <c r="Q19" s="3525" t="s">
        <v>3056</v>
      </c>
      <c r="R19" s="3525" t="s">
        <v>3056</v>
      </c>
      <c r="S19" s="3525" t="s">
        <v>3056</v>
      </c>
      <c r="T19" s="3525" t="s">
        <v>3056</v>
      </c>
      <c r="U19" s="3525" t="s">
        <v>3056</v>
      </c>
      <c r="V19" s="3525" t="s">
        <v>3056</v>
      </c>
      <c r="W19" s="3525" t="s">
        <v>3056</v>
      </c>
      <c r="X19" s="3527">
        <v>44117.000497685185</v>
      </c>
      <c r="Y19" s="3527">
        <v>44137.000497685185</v>
      </c>
      <c r="Z19" s="3527">
        <v>44146.000497685185</v>
      </c>
      <c r="AA19" s="3530">
        <v>44146.000497685185</v>
      </c>
      <c r="AB19" s="3525" t="s">
        <v>3103</v>
      </c>
      <c r="AC19" s="3525" t="s">
        <v>3058</v>
      </c>
      <c r="AD19" s="3529" t="s">
        <v>3392</v>
      </c>
      <c r="AE19" s="3529" t="s">
        <v>3393</v>
      </c>
      <c r="AF19" s="3525">
        <v>12558.68</v>
      </c>
      <c r="AG19" s="3525">
        <v>3000</v>
      </c>
      <c r="AH19" s="3525">
        <v>17308.61</v>
      </c>
      <c r="AI19" s="3525">
        <v>585.20000000000005</v>
      </c>
      <c r="AJ19" s="3529">
        <v>806.53</v>
      </c>
      <c r="AK19" s="3525">
        <v>4389</v>
      </c>
      <c r="AL19" s="3529">
        <v>6049</v>
      </c>
      <c r="AM19" s="3525" t="s">
        <v>3056</v>
      </c>
      <c r="AN19" s="3525" t="s">
        <v>3056</v>
      </c>
      <c r="AO19" s="3529">
        <v>37.82</v>
      </c>
      <c r="AP19" s="3529" t="s">
        <v>3059</v>
      </c>
      <c r="AQ19" s="3529">
        <v>0</v>
      </c>
      <c r="AR19" s="3529">
        <v>0</v>
      </c>
    </row>
    <row r="20" spans="1:46" s="3216" customFormat="1" ht="14.25">
      <c r="A20" s="3529" t="s">
        <v>3104</v>
      </c>
      <c r="B20" s="3529">
        <v>2020032003</v>
      </c>
      <c r="C20" s="3525" t="s">
        <v>3048</v>
      </c>
      <c r="D20" s="3525" t="s">
        <v>3049</v>
      </c>
      <c r="E20" s="3529" t="s">
        <v>3382</v>
      </c>
      <c r="F20" s="3525" t="s">
        <v>3105</v>
      </c>
      <c r="G20" s="3525" t="s">
        <v>3051</v>
      </c>
      <c r="H20" s="3529">
        <v>4487</v>
      </c>
      <c r="I20" s="3529">
        <v>11217.5</v>
      </c>
      <c r="J20" s="3529" t="s">
        <v>3394</v>
      </c>
      <c r="K20" s="3525" t="s">
        <v>3358</v>
      </c>
      <c r="L20" s="3529" t="s">
        <v>3367</v>
      </c>
      <c r="M20" s="3525" t="s">
        <v>3052</v>
      </c>
      <c r="N20" s="3525" t="s">
        <v>3053</v>
      </c>
      <c r="O20" s="3525" t="s">
        <v>3056</v>
      </c>
      <c r="P20" s="3525" t="s">
        <v>3056</v>
      </c>
      <c r="Q20" s="3525" t="s">
        <v>3056</v>
      </c>
      <c r="R20" s="3525" t="s">
        <v>3056</v>
      </c>
      <c r="S20" s="3525" t="s">
        <v>3056</v>
      </c>
      <c r="T20" s="3525" t="s">
        <v>3056</v>
      </c>
      <c r="U20" s="3525" t="s">
        <v>3056</v>
      </c>
      <c r="V20" s="3525" t="s">
        <v>3056</v>
      </c>
      <c r="W20" s="3525" t="s">
        <v>3056</v>
      </c>
      <c r="X20" s="3527">
        <v>44104.000497685185</v>
      </c>
      <c r="Y20" s="3527">
        <v>44124.000497685185</v>
      </c>
      <c r="Z20" s="3527">
        <v>44133.000497685185</v>
      </c>
      <c r="AA20" s="3530">
        <v>44133.000497685185</v>
      </c>
      <c r="AB20" s="3525" t="s">
        <v>3106</v>
      </c>
      <c r="AC20" s="3525" t="s">
        <v>3058</v>
      </c>
      <c r="AD20" s="3529" t="s">
        <v>3395</v>
      </c>
      <c r="AE20" s="3529" t="s">
        <v>2776</v>
      </c>
      <c r="AF20" s="3525">
        <v>4106.05</v>
      </c>
      <c r="AG20" s="3525">
        <v>1000</v>
      </c>
      <c r="AH20" s="3525">
        <v>4106.05</v>
      </c>
      <c r="AI20" s="3525">
        <v>610.07000000000005</v>
      </c>
      <c r="AJ20" s="3529">
        <v>610.07000000000005</v>
      </c>
      <c r="AK20" s="3525">
        <v>3660</v>
      </c>
      <c r="AL20" s="3529">
        <v>3660</v>
      </c>
      <c r="AM20" s="3525" t="s">
        <v>3056</v>
      </c>
      <c r="AN20" s="3525" t="s">
        <v>3056</v>
      </c>
      <c r="AO20" s="3529">
        <v>0</v>
      </c>
      <c r="AP20" s="3529" t="s">
        <v>3059</v>
      </c>
      <c r="AQ20" s="3529">
        <v>0</v>
      </c>
      <c r="AR20" s="3529">
        <v>0</v>
      </c>
    </row>
    <row r="21" spans="1:46" s="3298" customFormat="1" ht="14.25">
      <c r="A21" s="3537" t="s">
        <v>3107</v>
      </c>
      <c r="B21" s="3537">
        <v>2020033001</v>
      </c>
      <c r="C21" s="3525" t="s">
        <v>3048</v>
      </c>
      <c r="D21" s="3525" t="s">
        <v>3049</v>
      </c>
      <c r="E21" s="3537" t="s">
        <v>3369</v>
      </c>
      <c r="F21" s="3525" t="s">
        <v>3108</v>
      </c>
      <c r="G21" s="3525" t="s">
        <v>3051</v>
      </c>
      <c r="H21" s="3537">
        <v>61381</v>
      </c>
      <c r="I21" s="3537">
        <v>147314.4</v>
      </c>
      <c r="J21" s="3537" t="s">
        <v>3396</v>
      </c>
      <c r="K21" s="3525" t="s">
        <v>3358</v>
      </c>
      <c r="L21" s="3537" t="s">
        <v>3367</v>
      </c>
      <c r="M21" s="3525" t="s">
        <v>3052</v>
      </c>
      <c r="N21" s="3525" t="s">
        <v>3053</v>
      </c>
      <c r="O21" s="3525" t="s">
        <v>3056</v>
      </c>
      <c r="P21" s="3525" t="s">
        <v>3056</v>
      </c>
      <c r="Q21" s="3525" t="s">
        <v>3056</v>
      </c>
      <c r="R21" s="3525" t="s">
        <v>3056</v>
      </c>
      <c r="S21" s="3525" t="s">
        <v>3056</v>
      </c>
      <c r="T21" s="3525" t="s">
        <v>3056</v>
      </c>
      <c r="U21" s="3525" t="s">
        <v>3056</v>
      </c>
      <c r="V21" s="3525" t="s">
        <v>3056</v>
      </c>
      <c r="W21" s="3525" t="s">
        <v>3056</v>
      </c>
      <c r="X21" s="3527">
        <v>44104.000497685185</v>
      </c>
      <c r="Y21" s="3527">
        <v>44124.000497685185</v>
      </c>
      <c r="Z21" s="3527">
        <v>44133.000497685185</v>
      </c>
      <c r="AA21" s="3538">
        <v>44133.000497685185</v>
      </c>
      <c r="AB21" s="3525" t="s">
        <v>3109</v>
      </c>
      <c r="AC21" s="3525" t="s">
        <v>3058</v>
      </c>
      <c r="AD21" s="3537" t="s">
        <v>3397</v>
      </c>
      <c r="AE21" s="3537" t="s">
        <v>3398</v>
      </c>
      <c r="AF21" s="3525">
        <v>35662.36</v>
      </c>
      <c r="AG21" s="3525">
        <v>18000</v>
      </c>
      <c r="AH21" s="3525">
        <v>51314.51</v>
      </c>
      <c r="AI21" s="3525">
        <v>387.33</v>
      </c>
      <c r="AJ21" s="3537">
        <v>557.33000000000004</v>
      </c>
      <c r="AK21" s="3525">
        <v>2421</v>
      </c>
      <c r="AL21" s="3537">
        <v>3483</v>
      </c>
      <c r="AM21" s="3525" t="s">
        <v>3056</v>
      </c>
      <c r="AN21" s="3525" t="s">
        <v>3056</v>
      </c>
      <c r="AO21" s="3537">
        <v>43.89</v>
      </c>
      <c r="AP21" s="3537" t="s">
        <v>3059</v>
      </c>
      <c r="AQ21" s="3537">
        <v>0</v>
      </c>
      <c r="AR21" s="3537">
        <v>0</v>
      </c>
      <c r="AS21" s="3298">
        <f>AL21/1.4389</f>
        <v>2420.59906873306</v>
      </c>
    </row>
    <row r="22" spans="1:46" s="3294" customFormat="1" ht="14.25">
      <c r="A22" s="3535" t="s">
        <v>3104</v>
      </c>
      <c r="B22" s="3535">
        <v>2020032002</v>
      </c>
      <c r="C22" s="3525" t="s">
        <v>3048</v>
      </c>
      <c r="D22" s="3525" t="s">
        <v>3049</v>
      </c>
      <c r="E22" s="3535" t="s">
        <v>3382</v>
      </c>
      <c r="F22" s="3525" t="s">
        <v>3105</v>
      </c>
      <c r="G22" s="3525" t="s">
        <v>3051</v>
      </c>
      <c r="H22" s="3535">
        <v>28234</v>
      </c>
      <c r="I22" s="3535">
        <v>70585</v>
      </c>
      <c r="J22" s="3535" t="s">
        <v>3394</v>
      </c>
      <c r="K22" s="3525" t="s">
        <v>3358</v>
      </c>
      <c r="L22" s="3535" t="s">
        <v>3367</v>
      </c>
      <c r="M22" s="3525" t="s">
        <v>3052</v>
      </c>
      <c r="N22" s="3525" t="s">
        <v>3053</v>
      </c>
      <c r="O22" s="3525" t="s">
        <v>3056</v>
      </c>
      <c r="P22" s="3525" t="s">
        <v>3056</v>
      </c>
      <c r="Q22" s="3525" t="s">
        <v>3056</v>
      </c>
      <c r="R22" s="3525" t="s">
        <v>3056</v>
      </c>
      <c r="S22" s="3525" t="s">
        <v>3056</v>
      </c>
      <c r="T22" s="3525" t="s">
        <v>3056</v>
      </c>
      <c r="U22" s="3525" t="s">
        <v>3056</v>
      </c>
      <c r="V22" s="3525" t="s">
        <v>3056</v>
      </c>
      <c r="W22" s="3525" t="s">
        <v>3056</v>
      </c>
      <c r="X22" s="3527">
        <v>44104.000497685185</v>
      </c>
      <c r="Y22" s="3527">
        <v>44124.000497685185</v>
      </c>
      <c r="Z22" s="3527">
        <v>44133.000497685185</v>
      </c>
      <c r="AA22" s="3536">
        <v>44133.000497685185</v>
      </c>
      <c r="AB22" s="3525" t="s">
        <v>3106</v>
      </c>
      <c r="AC22" s="3525" t="s">
        <v>3058</v>
      </c>
      <c r="AD22" s="3535" t="s">
        <v>3395</v>
      </c>
      <c r="AE22" s="3535" t="s">
        <v>3399</v>
      </c>
      <c r="AF22" s="3525">
        <v>25300.49</v>
      </c>
      <c r="AG22" s="3525">
        <v>6000</v>
      </c>
      <c r="AH22" s="3525">
        <v>25300.49</v>
      </c>
      <c r="AI22" s="3525">
        <v>597.4</v>
      </c>
      <c r="AJ22" s="3535">
        <v>597.4</v>
      </c>
      <c r="AK22" s="3525">
        <v>3584</v>
      </c>
      <c r="AL22" s="3535">
        <v>3584</v>
      </c>
      <c r="AM22" s="3525" t="s">
        <v>3056</v>
      </c>
      <c r="AN22" s="3525" t="s">
        <v>3056</v>
      </c>
      <c r="AO22" s="3535">
        <v>0</v>
      </c>
      <c r="AP22" s="3535" t="s">
        <v>3059</v>
      </c>
      <c r="AQ22" s="3535">
        <v>0</v>
      </c>
      <c r="AR22" s="3535">
        <v>0</v>
      </c>
    </row>
    <row r="23" spans="1:46" s="3216" customFormat="1" ht="14.25">
      <c r="A23" s="3529" t="s">
        <v>3110</v>
      </c>
      <c r="B23" s="3529">
        <v>2020032001</v>
      </c>
      <c r="C23" s="3525" t="s">
        <v>3048</v>
      </c>
      <c r="D23" s="3525" t="s">
        <v>3049</v>
      </c>
      <c r="E23" s="3529" t="s">
        <v>3382</v>
      </c>
      <c r="F23" s="3525" t="s">
        <v>3111</v>
      </c>
      <c r="G23" s="3525" t="s">
        <v>3051</v>
      </c>
      <c r="H23" s="3529">
        <v>20852</v>
      </c>
      <c r="I23" s="3529">
        <v>52130</v>
      </c>
      <c r="J23" s="3529" t="s">
        <v>3394</v>
      </c>
      <c r="K23" s="3525" t="s">
        <v>3358</v>
      </c>
      <c r="L23" s="3529" t="s">
        <v>3367</v>
      </c>
      <c r="M23" s="3525" t="s">
        <v>3052</v>
      </c>
      <c r="N23" s="3525" t="s">
        <v>3053</v>
      </c>
      <c r="O23" s="3525" t="s">
        <v>3056</v>
      </c>
      <c r="P23" s="3525" t="s">
        <v>3056</v>
      </c>
      <c r="Q23" s="3525" t="s">
        <v>3056</v>
      </c>
      <c r="R23" s="3525" t="s">
        <v>3056</v>
      </c>
      <c r="S23" s="3525" t="s">
        <v>3056</v>
      </c>
      <c r="T23" s="3525" t="s">
        <v>3056</v>
      </c>
      <c r="U23" s="3525" t="s">
        <v>3056</v>
      </c>
      <c r="V23" s="3525" t="s">
        <v>3056</v>
      </c>
      <c r="W23" s="3525" t="s">
        <v>3056</v>
      </c>
      <c r="X23" s="3527">
        <v>44104.000497685185</v>
      </c>
      <c r="Y23" s="3527">
        <v>44124.000497685185</v>
      </c>
      <c r="Z23" s="3527">
        <v>44133.000497685185</v>
      </c>
      <c r="AA23" s="3530">
        <v>44133.000497685185</v>
      </c>
      <c r="AB23" s="3525" t="s">
        <v>3106</v>
      </c>
      <c r="AC23" s="3525" t="s">
        <v>3058</v>
      </c>
      <c r="AD23" s="3529" t="s">
        <v>3395</v>
      </c>
      <c r="AE23" s="3529" t="s">
        <v>3399</v>
      </c>
      <c r="AF23" s="3525">
        <v>18297.63</v>
      </c>
      <c r="AG23" s="3525">
        <v>4000</v>
      </c>
      <c r="AH23" s="3525">
        <v>18297.63</v>
      </c>
      <c r="AI23" s="3525">
        <v>585</v>
      </c>
      <c r="AJ23" s="3529">
        <v>585</v>
      </c>
      <c r="AK23" s="3525">
        <v>3510</v>
      </c>
      <c r="AL23" s="3529">
        <v>3510</v>
      </c>
      <c r="AM23" s="3525" t="s">
        <v>3056</v>
      </c>
      <c r="AN23" s="3525" t="s">
        <v>3056</v>
      </c>
      <c r="AO23" s="3529">
        <v>0</v>
      </c>
      <c r="AP23" s="3529" t="s">
        <v>3059</v>
      </c>
      <c r="AQ23" s="3529">
        <v>0</v>
      </c>
      <c r="AR23" s="3529">
        <v>0</v>
      </c>
    </row>
    <row r="24" spans="1:46" s="3216" customFormat="1" ht="14.25">
      <c r="A24" s="3529" t="s">
        <v>3112</v>
      </c>
      <c r="B24" s="3529">
        <v>2020032004</v>
      </c>
      <c r="C24" s="3525" t="s">
        <v>3048</v>
      </c>
      <c r="D24" s="3525" t="s">
        <v>3049</v>
      </c>
      <c r="E24" s="3529" t="s">
        <v>3382</v>
      </c>
      <c r="F24" s="3525" t="s">
        <v>3113</v>
      </c>
      <c r="G24" s="3525" t="s">
        <v>3051</v>
      </c>
      <c r="H24" s="3529">
        <v>17488</v>
      </c>
      <c r="I24" s="3529">
        <v>43720</v>
      </c>
      <c r="J24" s="3529" t="s">
        <v>3394</v>
      </c>
      <c r="K24" s="3525" t="s">
        <v>3358</v>
      </c>
      <c r="L24" s="3529" t="s">
        <v>3367</v>
      </c>
      <c r="M24" s="3525" t="s">
        <v>3052</v>
      </c>
      <c r="N24" s="3525" t="s">
        <v>3053</v>
      </c>
      <c r="O24" s="3525" t="s">
        <v>3056</v>
      </c>
      <c r="P24" s="3525" t="s">
        <v>3056</v>
      </c>
      <c r="Q24" s="3525" t="s">
        <v>3056</v>
      </c>
      <c r="R24" s="3525" t="s">
        <v>3056</v>
      </c>
      <c r="S24" s="3525" t="s">
        <v>3056</v>
      </c>
      <c r="T24" s="3525" t="s">
        <v>3056</v>
      </c>
      <c r="U24" s="3525" t="s">
        <v>3056</v>
      </c>
      <c r="V24" s="3525" t="s">
        <v>3056</v>
      </c>
      <c r="W24" s="3525" t="s">
        <v>3056</v>
      </c>
      <c r="X24" s="3527">
        <v>44104.000497685185</v>
      </c>
      <c r="Y24" s="3527">
        <v>44124.000497685185</v>
      </c>
      <c r="Z24" s="3527">
        <v>44133.000497685185</v>
      </c>
      <c r="AA24" s="3530">
        <v>44133.000497685185</v>
      </c>
      <c r="AB24" s="3525" t="s">
        <v>3106</v>
      </c>
      <c r="AC24" s="3525" t="s">
        <v>3058</v>
      </c>
      <c r="AD24" s="3529" t="s">
        <v>3395</v>
      </c>
      <c r="AE24" s="3529" t="s">
        <v>3399</v>
      </c>
      <c r="AF24" s="3525">
        <v>15531.09</v>
      </c>
      <c r="AG24" s="3525">
        <v>3800</v>
      </c>
      <c r="AH24" s="3525">
        <v>15531.09</v>
      </c>
      <c r="AI24" s="3525">
        <v>592.07000000000005</v>
      </c>
      <c r="AJ24" s="3529">
        <v>592.07000000000005</v>
      </c>
      <c r="AK24" s="3525">
        <v>3552</v>
      </c>
      <c r="AL24" s="3529">
        <v>3552</v>
      </c>
      <c r="AM24" s="3525" t="s">
        <v>3056</v>
      </c>
      <c r="AN24" s="3525" t="s">
        <v>3056</v>
      </c>
      <c r="AO24" s="3529">
        <v>0</v>
      </c>
      <c r="AP24" s="3529" t="s">
        <v>3059</v>
      </c>
      <c r="AQ24" s="3529">
        <v>0</v>
      </c>
      <c r="AR24" s="3529">
        <v>0</v>
      </c>
    </row>
    <row r="25" spans="1:46" s="3216" customFormat="1" ht="14.25">
      <c r="A25" s="3529" t="s">
        <v>3114</v>
      </c>
      <c r="B25" s="3529">
        <v>2020032006</v>
      </c>
      <c r="C25" s="3525" t="s">
        <v>3048</v>
      </c>
      <c r="D25" s="3525" t="s">
        <v>3049</v>
      </c>
      <c r="E25" s="3529" t="s">
        <v>3382</v>
      </c>
      <c r="F25" s="3525" t="s">
        <v>3115</v>
      </c>
      <c r="G25" s="3525" t="s">
        <v>3051</v>
      </c>
      <c r="H25" s="3529">
        <v>16574</v>
      </c>
      <c r="I25" s="3529">
        <v>41435</v>
      </c>
      <c r="J25" s="3529" t="s">
        <v>3394</v>
      </c>
      <c r="K25" s="3525" t="s">
        <v>3358</v>
      </c>
      <c r="L25" s="3529" t="s">
        <v>3367</v>
      </c>
      <c r="M25" s="3525" t="s">
        <v>3052</v>
      </c>
      <c r="N25" s="3525" t="s">
        <v>3053</v>
      </c>
      <c r="O25" s="3525" t="s">
        <v>3056</v>
      </c>
      <c r="P25" s="3525" t="s">
        <v>3056</v>
      </c>
      <c r="Q25" s="3525" t="s">
        <v>3056</v>
      </c>
      <c r="R25" s="3525" t="s">
        <v>3056</v>
      </c>
      <c r="S25" s="3525" t="s">
        <v>3056</v>
      </c>
      <c r="T25" s="3525" t="s">
        <v>3056</v>
      </c>
      <c r="U25" s="3525" t="s">
        <v>3056</v>
      </c>
      <c r="V25" s="3525" t="s">
        <v>3056</v>
      </c>
      <c r="W25" s="3525" t="s">
        <v>3056</v>
      </c>
      <c r="X25" s="3527">
        <v>44104.000497685185</v>
      </c>
      <c r="Y25" s="3527">
        <v>44124.000497685185</v>
      </c>
      <c r="Z25" s="3527">
        <v>44133.000497685185</v>
      </c>
      <c r="AA25" s="3530">
        <v>44133.000497685185</v>
      </c>
      <c r="AB25" s="3525" t="s">
        <v>3106</v>
      </c>
      <c r="AC25" s="3525" t="s">
        <v>3058</v>
      </c>
      <c r="AD25" s="3529" t="s">
        <v>3395</v>
      </c>
      <c r="AE25" s="3529" t="s">
        <v>3399</v>
      </c>
      <c r="AF25" s="3525">
        <v>15105.54</v>
      </c>
      <c r="AG25" s="3525">
        <v>3500</v>
      </c>
      <c r="AH25" s="3525">
        <v>15105.54</v>
      </c>
      <c r="AI25" s="3525">
        <v>607.6</v>
      </c>
      <c r="AJ25" s="3529">
        <v>607.6</v>
      </c>
      <c r="AK25" s="3525">
        <v>3646</v>
      </c>
      <c r="AL25" s="3529">
        <v>3646</v>
      </c>
      <c r="AM25" s="3525" t="s">
        <v>3056</v>
      </c>
      <c r="AN25" s="3525" t="s">
        <v>3056</v>
      </c>
      <c r="AO25" s="3529">
        <v>0</v>
      </c>
      <c r="AP25" s="3529" t="s">
        <v>3059</v>
      </c>
      <c r="AQ25" s="3529">
        <v>0</v>
      </c>
      <c r="AR25" s="3529">
        <v>0</v>
      </c>
    </row>
    <row r="26" spans="1:46" s="3216" customFormat="1" ht="14.25">
      <c r="A26" s="3529" t="s">
        <v>3116</v>
      </c>
      <c r="B26" s="3529">
        <v>2020032005</v>
      </c>
      <c r="C26" s="3525" t="s">
        <v>3048</v>
      </c>
      <c r="D26" s="3525" t="s">
        <v>3049</v>
      </c>
      <c r="E26" s="3529" t="s">
        <v>3382</v>
      </c>
      <c r="F26" s="3525" t="s">
        <v>3117</v>
      </c>
      <c r="G26" s="3525" t="s">
        <v>3051</v>
      </c>
      <c r="H26" s="3529">
        <v>16272</v>
      </c>
      <c r="I26" s="3529">
        <v>40680</v>
      </c>
      <c r="J26" s="3529" t="s">
        <v>3394</v>
      </c>
      <c r="K26" s="3525" t="s">
        <v>3358</v>
      </c>
      <c r="L26" s="3529" t="s">
        <v>3367</v>
      </c>
      <c r="M26" s="3525" t="s">
        <v>3052</v>
      </c>
      <c r="N26" s="3525" t="s">
        <v>3053</v>
      </c>
      <c r="O26" s="3525" t="s">
        <v>3056</v>
      </c>
      <c r="P26" s="3525" t="s">
        <v>3056</v>
      </c>
      <c r="Q26" s="3525" t="s">
        <v>3056</v>
      </c>
      <c r="R26" s="3525" t="s">
        <v>3056</v>
      </c>
      <c r="S26" s="3525" t="s">
        <v>3056</v>
      </c>
      <c r="T26" s="3525" t="s">
        <v>3056</v>
      </c>
      <c r="U26" s="3525" t="s">
        <v>3056</v>
      </c>
      <c r="V26" s="3525" t="s">
        <v>3056</v>
      </c>
      <c r="W26" s="3525" t="s">
        <v>3056</v>
      </c>
      <c r="X26" s="3527">
        <v>44104.000497685185</v>
      </c>
      <c r="Y26" s="3527">
        <v>44124.000497685185</v>
      </c>
      <c r="Z26" s="3527">
        <v>44133.000497685185</v>
      </c>
      <c r="AA26" s="3530">
        <v>44133.000497685185</v>
      </c>
      <c r="AB26" s="3525" t="s">
        <v>3106</v>
      </c>
      <c r="AC26" s="3525" t="s">
        <v>3058</v>
      </c>
      <c r="AD26" s="3529" t="s">
        <v>3395</v>
      </c>
      <c r="AE26" s="3529" t="s">
        <v>3399</v>
      </c>
      <c r="AF26" s="3525">
        <v>15144.35</v>
      </c>
      <c r="AG26" s="3525">
        <v>3600</v>
      </c>
      <c r="AH26" s="3525">
        <v>15144.35</v>
      </c>
      <c r="AI26" s="3525">
        <v>620.47</v>
      </c>
      <c r="AJ26" s="3529">
        <v>620.47</v>
      </c>
      <c r="AK26" s="3525">
        <v>3723</v>
      </c>
      <c r="AL26" s="3529">
        <v>3723</v>
      </c>
      <c r="AM26" s="3525" t="s">
        <v>3056</v>
      </c>
      <c r="AN26" s="3525" t="s">
        <v>3056</v>
      </c>
      <c r="AO26" s="3529">
        <v>0</v>
      </c>
      <c r="AP26" s="3529" t="s">
        <v>3059</v>
      </c>
      <c r="AQ26" s="3529">
        <v>0</v>
      </c>
      <c r="AR26" s="3529">
        <v>0</v>
      </c>
    </row>
    <row r="27" spans="1:46" s="3292" customFormat="1" ht="14.25" hidden="1" customHeight="1">
      <c r="A27" s="3526" t="s">
        <v>3118</v>
      </c>
      <c r="B27" s="3526">
        <v>2020031003</v>
      </c>
      <c r="C27" s="3525" t="s">
        <v>3048</v>
      </c>
      <c r="D27" s="3525" t="s">
        <v>3049</v>
      </c>
      <c r="E27" s="3526" t="s">
        <v>3361</v>
      </c>
      <c r="F27" s="3525" t="s">
        <v>3119</v>
      </c>
      <c r="G27" s="3525" t="s">
        <v>3051</v>
      </c>
      <c r="H27" s="3526">
        <v>13040</v>
      </c>
      <c r="I27" s="3526">
        <v>41728</v>
      </c>
      <c r="J27" s="3526" t="s">
        <v>3400</v>
      </c>
      <c r="K27" s="3525" t="s">
        <v>3358</v>
      </c>
      <c r="L27" s="3526" t="s">
        <v>3367</v>
      </c>
      <c r="M27" s="3525" t="s">
        <v>3052</v>
      </c>
      <c r="N27" s="3525" t="s">
        <v>3053</v>
      </c>
      <c r="O27" s="3525" t="s">
        <v>3064</v>
      </c>
      <c r="P27" s="3525" t="s">
        <v>3056</v>
      </c>
      <c r="Q27" s="3525" t="s">
        <v>3056</v>
      </c>
      <c r="R27" s="3525" t="s">
        <v>3056</v>
      </c>
      <c r="S27" s="3525" t="s">
        <v>3056</v>
      </c>
      <c r="T27" s="3525" t="s">
        <v>3056</v>
      </c>
      <c r="U27" s="3525" t="s">
        <v>3056</v>
      </c>
      <c r="V27" s="3525" t="s">
        <v>3056</v>
      </c>
      <c r="W27" s="3525" t="s">
        <v>3056</v>
      </c>
      <c r="X27" s="3527">
        <v>44103.000497685185</v>
      </c>
      <c r="Y27" s="3527">
        <v>44123.000497685185</v>
      </c>
      <c r="Z27" s="3527">
        <v>44132.000497685185</v>
      </c>
      <c r="AA27" s="3528">
        <v>44132.000497685185</v>
      </c>
      <c r="AB27" s="3525" t="s">
        <v>3120</v>
      </c>
      <c r="AC27" s="3525" t="s">
        <v>3058</v>
      </c>
      <c r="AD27" s="3526" t="s">
        <v>3401</v>
      </c>
      <c r="AE27" s="3526" t="s">
        <v>2776</v>
      </c>
      <c r="AF27" s="3525">
        <v>8736.7900000000009</v>
      </c>
      <c r="AG27" s="3525">
        <v>2000</v>
      </c>
      <c r="AH27" s="3525">
        <v>8736.7900000000009</v>
      </c>
      <c r="AI27" s="3525">
        <v>446.67</v>
      </c>
      <c r="AJ27" s="3526">
        <v>446.67</v>
      </c>
      <c r="AK27" s="3525">
        <v>2094</v>
      </c>
      <c r="AL27" s="3526">
        <v>2094</v>
      </c>
      <c r="AM27" s="3525" t="s">
        <v>3056</v>
      </c>
      <c r="AN27" s="3525" t="s">
        <v>3056</v>
      </c>
      <c r="AO27" s="3526">
        <v>0</v>
      </c>
      <c r="AP27" s="3526" t="s">
        <v>3059</v>
      </c>
      <c r="AQ27" s="3526">
        <v>0</v>
      </c>
      <c r="AR27" s="3526">
        <v>0</v>
      </c>
    </row>
    <row r="28" spans="1:46" s="3292" customFormat="1" ht="14.25" hidden="1" customHeight="1">
      <c r="A28" s="3526" t="s">
        <v>3121</v>
      </c>
      <c r="B28" s="3526">
        <v>2020031002</v>
      </c>
      <c r="C28" s="3525" t="s">
        <v>3048</v>
      </c>
      <c r="D28" s="3525" t="s">
        <v>3049</v>
      </c>
      <c r="E28" s="3526" t="s">
        <v>3361</v>
      </c>
      <c r="F28" s="3525" t="s">
        <v>3122</v>
      </c>
      <c r="G28" s="3525" t="s">
        <v>3051</v>
      </c>
      <c r="H28" s="3526">
        <v>12122</v>
      </c>
      <c r="I28" s="3526">
        <v>38790.400000000001</v>
      </c>
      <c r="J28" s="3526" t="s">
        <v>3400</v>
      </c>
      <c r="K28" s="3525" t="s">
        <v>3358</v>
      </c>
      <c r="L28" s="3526" t="s">
        <v>3367</v>
      </c>
      <c r="M28" s="3525" t="s">
        <v>3052</v>
      </c>
      <c r="N28" s="3525" t="s">
        <v>3053</v>
      </c>
      <c r="O28" s="3525" t="s">
        <v>3064</v>
      </c>
      <c r="P28" s="3525" t="s">
        <v>3056</v>
      </c>
      <c r="Q28" s="3525" t="s">
        <v>3056</v>
      </c>
      <c r="R28" s="3525" t="s">
        <v>3056</v>
      </c>
      <c r="S28" s="3525" t="s">
        <v>3056</v>
      </c>
      <c r="T28" s="3525" t="s">
        <v>3056</v>
      </c>
      <c r="U28" s="3525" t="s">
        <v>3056</v>
      </c>
      <c r="V28" s="3525" t="s">
        <v>3056</v>
      </c>
      <c r="W28" s="3525" t="s">
        <v>3056</v>
      </c>
      <c r="X28" s="3527">
        <v>44103.000497685185</v>
      </c>
      <c r="Y28" s="3527">
        <v>44123.000497685185</v>
      </c>
      <c r="Z28" s="3527">
        <v>44132.000497685185</v>
      </c>
      <c r="AA28" s="3528">
        <v>44132.000497685185</v>
      </c>
      <c r="AB28" s="3525" t="s">
        <v>3120</v>
      </c>
      <c r="AC28" s="3525" t="s">
        <v>3058</v>
      </c>
      <c r="AD28" s="3526" t="s">
        <v>3401</v>
      </c>
      <c r="AE28" s="3526" t="s">
        <v>2776</v>
      </c>
      <c r="AF28" s="3525">
        <v>8242.9500000000007</v>
      </c>
      <c r="AG28" s="3525">
        <v>1800</v>
      </c>
      <c r="AH28" s="3525">
        <v>8242.9500000000007</v>
      </c>
      <c r="AI28" s="3525">
        <v>453.33</v>
      </c>
      <c r="AJ28" s="3526">
        <v>453.33</v>
      </c>
      <c r="AK28" s="3525">
        <v>2125</v>
      </c>
      <c r="AL28" s="3526">
        <v>2125</v>
      </c>
      <c r="AM28" s="3525" t="s">
        <v>3056</v>
      </c>
      <c r="AN28" s="3525" t="s">
        <v>3056</v>
      </c>
      <c r="AO28" s="3526">
        <v>0</v>
      </c>
      <c r="AP28" s="3526" t="s">
        <v>3059</v>
      </c>
      <c r="AQ28" s="3526">
        <v>0</v>
      </c>
      <c r="AR28" s="3526">
        <v>0</v>
      </c>
    </row>
    <row r="29" spans="1:46" s="3292" customFormat="1" ht="14.25" hidden="1" customHeight="1">
      <c r="A29" s="3526" t="s">
        <v>3123</v>
      </c>
      <c r="B29" s="3526">
        <v>2020031004</v>
      </c>
      <c r="C29" s="3525" t="s">
        <v>3048</v>
      </c>
      <c r="D29" s="3525" t="s">
        <v>3049</v>
      </c>
      <c r="E29" s="3526" t="s">
        <v>3361</v>
      </c>
      <c r="F29" s="3525" t="s">
        <v>3124</v>
      </c>
      <c r="G29" s="3525" t="s">
        <v>3051</v>
      </c>
      <c r="H29" s="3526">
        <v>20525</v>
      </c>
      <c r="I29" s="3526">
        <v>65680</v>
      </c>
      <c r="J29" s="3526" t="s">
        <v>3400</v>
      </c>
      <c r="K29" s="3525" t="s">
        <v>3358</v>
      </c>
      <c r="L29" s="3526" t="s">
        <v>3367</v>
      </c>
      <c r="M29" s="3525" t="s">
        <v>3052</v>
      </c>
      <c r="N29" s="3525" t="s">
        <v>3053</v>
      </c>
      <c r="O29" s="3525" t="s">
        <v>3064</v>
      </c>
      <c r="P29" s="3525" t="s">
        <v>3056</v>
      </c>
      <c r="Q29" s="3525" t="s">
        <v>3056</v>
      </c>
      <c r="R29" s="3525" t="s">
        <v>3056</v>
      </c>
      <c r="S29" s="3525" t="s">
        <v>3056</v>
      </c>
      <c r="T29" s="3525" t="s">
        <v>3056</v>
      </c>
      <c r="U29" s="3525" t="s">
        <v>3056</v>
      </c>
      <c r="V29" s="3525" t="s">
        <v>3056</v>
      </c>
      <c r="W29" s="3525" t="s">
        <v>3056</v>
      </c>
      <c r="X29" s="3527">
        <v>44103.000497685185</v>
      </c>
      <c r="Y29" s="3527">
        <v>44123.000497685185</v>
      </c>
      <c r="Z29" s="3527">
        <v>44132.000497685185</v>
      </c>
      <c r="AA29" s="3528">
        <v>44132.000497685185</v>
      </c>
      <c r="AB29" s="3525" t="s">
        <v>3120</v>
      </c>
      <c r="AC29" s="3525" t="s">
        <v>3058</v>
      </c>
      <c r="AD29" s="3526" t="s">
        <v>3401</v>
      </c>
      <c r="AE29" s="3526" t="s">
        <v>3401</v>
      </c>
      <c r="AF29" s="3525">
        <v>13546.5</v>
      </c>
      <c r="AG29" s="3525">
        <v>3000</v>
      </c>
      <c r="AH29" s="3525">
        <v>13546.5</v>
      </c>
      <c r="AI29" s="3525">
        <v>440</v>
      </c>
      <c r="AJ29" s="3526">
        <v>440</v>
      </c>
      <c r="AK29" s="3525">
        <v>2063</v>
      </c>
      <c r="AL29" s="3526">
        <v>2063</v>
      </c>
      <c r="AM29" s="3525" t="s">
        <v>3056</v>
      </c>
      <c r="AN29" s="3525" t="s">
        <v>3056</v>
      </c>
      <c r="AO29" s="3526">
        <v>0</v>
      </c>
      <c r="AP29" s="3526" t="s">
        <v>3059</v>
      </c>
      <c r="AQ29" s="3526">
        <v>0</v>
      </c>
      <c r="AR29" s="3526">
        <v>0</v>
      </c>
    </row>
    <row r="30" spans="1:46" s="3292" customFormat="1" ht="14.25" hidden="1" customHeight="1">
      <c r="A30" s="3526" t="s">
        <v>3125</v>
      </c>
      <c r="B30" s="3526">
        <v>2020031001</v>
      </c>
      <c r="C30" s="3525" t="s">
        <v>3048</v>
      </c>
      <c r="D30" s="3525" t="s">
        <v>3049</v>
      </c>
      <c r="E30" s="3526" t="s">
        <v>3484</v>
      </c>
      <c r="F30" s="3525" t="s">
        <v>3126</v>
      </c>
      <c r="G30" s="3525" t="s">
        <v>3051</v>
      </c>
      <c r="H30" s="3526">
        <v>25654</v>
      </c>
      <c r="I30" s="3526">
        <v>82092.800000000003</v>
      </c>
      <c r="J30" s="3526" t="s">
        <v>3400</v>
      </c>
      <c r="K30" s="3525" t="s">
        <v>3358</v>
      </c>
      <c r="L30" s="3526" t="s">
        <v>3367</v>
      </c>
      <c r="M30" s="3525" t="s">
        <v>3052</v>
      </c>
      <c r="N30" s="3525" t="s">
        <v>3053</v>
      </c>
      <c r="O30" s="3525" t="s">
        <v>3064</v>
      </c>
      <c r="P30" s="3525" t="s">
        <v>3056</v>
      </c>
      <c r="Q30" s="3525" t="s">
        <v>3056</v>
      </c>
      <c r="R30" s="3525" t="s">
        <v>3056</v>
      </c>
      <c r="S30" s="3525" t="s">
        <v>3056</v>
      </c>
      <c r="T30" s="3525" t="s">
        <v>3056</v>
      </c>
      <c r="U30" s="3525" t="s">
        <v>3056</v>
      </c>
      <c r="V30" s="3525" t="s">
        <v>3056</v>
      </c>
      <c r="W30" s="3525" t="s">
        <v>3056</v>
      </c>
      <c r="X30" s="3527">
        <v>44103.000497685185</v>
      </c>
      <c r="Y30" s="3527">
        <v>44123.000497685185</v>
      </c>
      <c r="Z30" s="3527">
        <v>44132.000497685185</v>
      </c>
      <c r="AA30" s="3528">
        <v>44132.000497685185</v>
      </c>
      <c r="AB30" s="3525" t="s">
        <v>3120</v>
      </c>
      <c r="AC30" s="3525" t="s">
        <v>3058</v>
      </c>
      <c r="AD30" s="3526" t="s">
        <v>3401</v>
      </c>
      <c r="AE30" s="3526" t="s">
        <v>3401</v>
      </c>
      <c r="AF30" s="3525">
        <v>16931.63</v>
      </c>
      <c r="AG30" s="3525">
        <v>4000</v>
      </c>
      <c r="AH30" s="3525">
        <v>16931.63</v>
      </c>
      <c r="AI30" s="3525">
        <v>440</v>
      </c>
      <c r="AJ30" s="3526">
        <v>440</v>
      </c>
      <c r="AK30" s="3525">
        <v>2063</v>
      </c>
      <c r="AL30" s="3526">
        <v>2063</v>
      </c>
      <c r="AM30" s="3525" t="s">
        <v>3056</v>
      </c>
      <c r="AN30" s="3525" t="s">
        <v>3056</v>
      </c>
      <c r="AO30" s="3526">
        <v>0</v>
      </c>
      <c r="AP30" s="3526" t="s">
        <v>3059</v>
      </c>
      <c r="AQ30" s="3526">
        <v>0</v>
      </c>
      <c r="AR30" s="3526">
        <v>0</v>
      </c>
    </row>
    <row r="31" spans="1:46" s="3216" customFormat="1" ht="14.25">
      <c r="A31" s="3529" t="s">
        <v>3127</v>
      </c>
      <c r="B31" s="3529">
        <v>2020028001</v>
      </c>
      <c r="C31" s="3525" t="s">
        <v>3048</v>
      </c>
      <c r="D31" s="3525" t="s">
        <v>3049</v>
      </c>
      <c r="E31" s="3529" t="s">
        <v>3382</v>
      </c>
      <c r="F31" s="3525" t="s">
        <v>3128</v>
      </c>
      <c r="G31" s="3525" t="s">
        <v>3051</v>
      </c>
      <c r="H31" s="3529">
        <v>634</v>
      </c>
      <c r="I31" s="3529">
        <v>1648.4</v>
      </c>
      <c r="J31" s="3529" t="s">
        <v>3402</v>
      </c>
      <c r="K31" s="3525" t="s">
        <v>3358</v>
      </c>
      <c r="L31" s="3529" t="s">
        <v>3367</v>
      </c>
      <c r="M31" s="3525" t="s">
        <v>3052</v>
      </c>
      <c r="N31" s="3525" t="s">
        <v>3053</v>
      </c>
      <c r="O31" s="3525" t="s">
        <v>3129</v>
      </c>
      <c r="P31" s="3525" t="s">
        <v>3056</v>
      </c>
      <c r="Q31" s="3525" t="s">
        <v>3056</v>
      </c>
      <c r="R31" s="3525" t="s">
        <v>3056</v>
      </c>
      <c r="S31" s="3525" t="s">
        <v>3056</v>
      </c>
      <c r="T31" s="3525" t="s">
        <v>3056</v>
      </c>
      <c r="U31" s="3525" t="s">
        <v>3056</v>
      </c>
      <c r="V31" s="3525" t="s">
        <v>3056</v>
      </c>
      <c r="W31" s="3525" t="s">
        <v>3056</v>
      </c>
      <c r="X31" s="3527">
        <v>44099.000497685185</v>
      </c>
      <c r="Y31" s="3527">
        <v>44120.000497685185</v>
      </c>
      <c r="Z31" s="3527">
        <v>44130.000497685185</v>
      </c>
      <c r="AA31" s="3530">
        <v>44130.000497685185</v>
      </c>
      <c r="AB31" s="3525" t="s">
        <v>3130</v>
      </c>
      <c r="AC31" s="3525" t="s">
        <v>3058</v>
      </c>
      <c r="AD31" s="3529" t="s">
        <v>3397</v>
      </c>
      <c r="AE31" s="3529" t="s">
        <v>3398</v>
      </c>
      <c r="AF31" s="3525">
        <v>104.98</v>
      </c>
      <c r="AG31" s="3525">
        <v>30</v>
      </c>
      <c r="AH31" s="3525">
        <v>104.98</v>
      </c>
      <c r="AI31" s="3525">
        <v>110.39</v>
      </c>
      <c r="AJ31" s="3529">
        <v>110.39</v>
      </c>
      <c r="AK31" s="3525">
        <v>637</v>
      </c>
      <c r="AL31" s="3529">
        <v>637</v>
      </c>
      <c r="AM31" s="3525" t="s">
        <v>3056</v>
      </c>
      <c r="AN31" s="3525" t="s">
        <v>3056</v>
      </c>
      <c r="AO31" s="3529">
        <v>0</v>
      </c>
      <c r="AP31" s="3529" t="s">
        <v>3059</v>
      </c>
      <c r="AQ31" s="3529">
        <v>0</v>
      </c>
      <c r="AR31" s="3529">
        <v>0</v>
      </c>
    </row>
    <row r="32" spans="1:46" s="3216" customFormat="1" ht="14.25">
      <c r="A32" s="3529" t="s">
        <v>3131</v>
      </c>
      <c r="B32" s="3529">
        <v>2020028002</v>
      </c>
      <c r="C32" s="3525" t="s">
        <v>3048</v>
      </c>
      <c r="D32" s="3525" t="s">
        <v>3049</v>
      </c>
      <c r="E32" s="3529" t="s">
        <v>3382</v>
      </c>
      <c r="F32" s="3525" t="s">
        <v>3132</v>
      </c>
      <c r="G32" s="3525" t="s">
        <v>3051</v>
      </c>
      <c r="H32" s="3529">
        <v>2867</v>
      </c>
      <c r="I32" s="3529">
        <v>7454.2</v>
      </c>
      <c r="J32" s="3529" t="s">
        <v>3402</v>
      </c>
      <c r="K32" s="3525" t="s">
        <v>3358</v>
      </c>
      <c r="L32" s="3529" t="s">
        <v>3367</v>
      </c>
      <c r="M32" s="3525" t="s">
        <v>3052</v>
      </c>
      <c r="N32" s="3525" t="s">
        <v>3053</v>
      </c>
      <c r="O32" s="3525" t="s">
        <v>3129</v>
      </c>
      <c r="P32" s="3525" t="s">
        <v>3056</v>
      </c>
      <c r="Q32" s="3525" t="s">
        <v>3056</v>
      </c>
      <c r="R32" s="3525" t="s">
        <v>3056</v>
      </c>
      <c r="S32" s="3525" t="s">
        <v>3056</v>
      </c>
      <c r="T32" s="3525" t="s">
        <v>3056</v>
      </c>
      <c r="U32" s="3525" t="s">
        <v>3056</v>
      </c>
      <c r="V32" s="3525" t="s">
        <v>3056</v>
      </c>
      <c r="W32" s="3525" t="s">
        <v>3056</v>
      </c>
      <c r="X32" s="3527">
        <v>44099.000497685185</v>
      </c>
      <c r="Y32" s="3527">
        <v>44120.000497685185</v>
      </c>
      <c r="Z32" s="3527">
        <v>44130.000497685185</v>
      </c>
      <c r="AA32" s="3530">
        <v>44130.000497685185</v>
      </c>
      <c r="AB32" s="3525" t="s">
        <v>3130</v>
      </c>
      <c r="AC32" s="3525" t="s">
        <v>3058</v>
      </c>
      <c r="AD32" s="3529" t="s">
        <v>3397</v>
      </c>
      <c r="AE32" s="3529" t="s">
        <v>3398</v>
      </c>
      <c r="AF32" s="3525">
        <v>454.7</v>
      </c>
      <c r="AG32" s="3525">
        <v>150</v>
      </c>
      <c r="AH32" s="3525">
        <v>454.7</v>
      </c>
      <c r="AI32" s="3525">
        <v>105.73</v>
      </c>
      <c r="AJ32" s="3529">
        <v>105.73</v>
      </c>
      <c r="AK32" s="3525">
        <v>610</v>
      </c>
      <c r="AL32" s="3529">
        <v>610</v>
      </c>
      <c r="AM32" s="3525" t="s">
        <v>3056</v>
      </c>
      <c r="AN32" s="3525" t="s">
        <v>3056</v>
      </c>
      <c r="AO32" s="3529">
        <v>0</v>
      </c>
      <c r="AP32" s="3529" t="s">
        <v>3059</v>
      </c>
      <c r="AQ32" s="3529">
        <v>0</v>
      </c>
      <c r="AR32" s="3529">
        <v>0</v>
      </c>
    </row>
    <row r="33" spans="1:45" s="3292" customFormat="1" ht="14.25" hidden="1" customHeight="1">
      <c r="A33" s="3526" t="s">
        <v>3133</v>
      </c>
      <c r="B33" s="3526">
        <v>2020027001</v>
      </c>
      <c r="C33" s="3525" t="s">
        <v>3048</v>
      </c>
      <c r="D33" s="3525" t="s">
        <v>3049</v>
      </c>
      <c r="E33" s="3526" t="s">
        <v>3403</v>
      </c>
      <c r="F33" s="3525" t="s">
        <v>3134</v>
      </c>
      <c r="G33" s="3525" t="s">
        <v>3051</v>
      </c>
      <c r="H33" s="3526">
        <v>26667</v>
      </c>
      <c r="I33" s="3526">
        <v>85334.399999999994</v>
      </c>
      <c r="J33" s="3526" t="s">
        <v>3400</v>
      </c>
      <c r="K33" s="3525" t="s">
        <v>3358</v>
      </c>
      <c r="L33" s="3526" t="s">
        <v>3404</v>
      </c>
      <c r="M33" s="3525" t="s">
        <v>3052</v>
      </c>
      <c r="N33" s="3525" t="s">
        <v>3053</v>
      </c>
      <c r="O33" s="3525" t="s">
        <v>3064</v>
      </c>
      <c r="P33" s="3525" t="s">
        <v>3056</v>
      </c>
      <c r="Q33" s="3525" t="s">
        <v>3056</v>
      </c>
      <c r="R33" s="3525" t="s">
        <v>3056</v>
      </c>
      <c r="S33" s="3525" t="s">
        <v>3056</v>
      </c>
      <c r="T33" s="3525" t="s">
        <v>3056</v>
      </c>
      <c r="U33" s="3525" t="s">
        <v>3056</v>
      </c>
      <c r="V33" s="3525" t="s">
        <v>3056</v>
      </c>
      <c r="W33" s="3525" t="s">
        <v>3056</v>
      </c>
      <c r="X33" s="3527">
        <v>44075.000497685185</v>
      </c>
      <c r="Y33" s="3527">
        <v>44095.000497685185</v>
      </c>
      <c r="Z33" s="3527">
        <v>44104.000497685185</v>
      </c>
      <c r="AA33" s="3528">
        <v>44104.000497685185</v>
      </c>
      <c r="AB33" s="3525" t="s">
        <v>3135</v>
      </c>
      <c r="AC33" s="3525" t="s">
        <v>3058</v>
      </c>
      <c r="AD33" s="3526" t="s">
        <v>3405</v>
      </c>
      <c r="AE33" s="3526" t="s">
        <v>3405</v>
      </c>
      <c r="AF33" s="3525">
        <v>17666.88</v>
      </c>
      <c r="AG33" s="3525">
        <v>4000</v>
      </c>
      <c r="AH33" s="3525">
        <v>17666.88</v>
      </c>
      <c r="AI33" s="3525">
        <v>441.67</v>
      </c>
      <c r="AJ33" s="3526">
        <v>441.67</v>
      </c>
      <c r="AK33" s="3525">
        <v>2070</v>
      </c>
      <c r="AL33" s="3526">
        <v>2070</v>
      </c>
      <c r="AM33" s="3525" t="s">
        <v>3056</v>
      </c>
      <c r="AN33" s="3525" t="s">
        <v>3056</v>
      </c>
      <c r="AO33" s="3526">
        <v>0</v>
      </c>
      <c r="AP33" s="3526" t="s">
        <v>3059</v>
      </c>
      <c r="AQ33" s="3526">
        <v>0</v>
      </c>
      <c r="AR33" s="3526">
        <v>0</v>
      </c>
    </row>
    <row r="34" spans="1:45" s="3216" customFormat="1" ht="14.25">
      <c r="A34" s="3529" t="s">
        <v>3136</v>
      </c>
      <c r="B34" s="3529">
        <v>2020026001</v>
      </c>
      <c r="C34" s="3525" t="s">
        <v>3048</v>
      </c>
      <c r="D34" s="3525" t="s">
        <v>3049</v>
      </c>
      <c r="E34" s="3529" t="s">
        <v>3369</v>
      </c>
      <c r="F34" s="3525" t="s">
        <v>3137</v>
      </c>
      <c r="G34" s="3525" t="s">
        <v>3051</v>
      </c>
      <c r="H34" s="3529">
        <v>47118</v>
      </c>
      <c r="I34" s="3529">
        <v>94236</v>
      </c>
      <c r="J34" s="3529" t="s">
        <v>3383</v>
      </c>
      <c r="K34" s="3525" t="s">
        <v>3358</v>
      </c>
      <c r="L34" s="3529" t="s">
        <v>3404</v>
      </c>
      <c r="M34" s="3525" t="s">
        <v>3052</v>
      </c>
      <c r="N34" s="3525" t="s">
        <v>3053</v>
      </c>
      <c r="O34" s="3525" t="s">
        <v>3056</v>
      </c>
      <c r="P34" s="3525" t="s">
        <v>3056</v>
      </c>
      <c r="Q34" s="3525" t="s">
        <v>3056</v>
      </c>
      <c r="R34" s="3525" t="s">
        <v>3056</v>
      </c>
      <c r="S34" s="3525" t="s">
        <v>3056</v>
      </c>
      <c r="T34" s="3525" t="s">
        <v>3056</v>
      </c>
      <c r="U34" s="3525" t="s">
        <v>3056</v>
      </c>
      <c r="V34" s="3525" t="s">
        <v>3056</v>
      </c>
      <c r="W34" s="3525" t="s">
        <v>3056</v>
      </c>
      <c r="X34" s="3527">
        <v>44074.000497685185</v>
      </c>
      <c r="Y34" s="3527">
        <v>44094.000497685185</v>
      </c>
      <c r="Z34" s="3527">
        <v>44103.000497685185</v>
      </c>
      <c r="AA34" s="3530">
        <v>44103.000497685185</v>
      </c>
      <c r="AB34" s="3525" t="s">
        <v>3138</v>
      </c>
      <c r="AC34" s="3525" t="s">
        <v>3058</v>
      </c>
      <c r="AD34" s="3529" t="s">
        <v>3406</v>
      </c>
      <c r="AE34" s="3529" t="s">
        <v>3407</v>
      </c>
      <c r="AF34" s="3525">
        <v>44526.51</v>
      </c>
      <c r="AG34" s="3525">
        <v>20000</v>
      </c>
      <c r="AH34" s="3525">
        <v>71807.83</v>
      </c>
      <c r="AI34" s="3525">
        <v>630</v>
      </c>
      <c r="AJ34" s="3529">
        <v>1016</v>
      </c>
      <c r="AK34" s="3525">
        <v>4725</v>
      </c>
      <c r="AL34" s="3529">
        <v>7620</v>
      </c>
      <c r="AM34" s="3525" t="s">
        <v>3056</v>
      </c>
      <c r="AN34" s="3525" t="s">
        <v>3056</v>
      </c>
      <c r="AO34" s="3529">
        <v>61.27</v>
      </c>
      <c r="AP34" s="3529" t="s">
        <v>3059</v>
      </c>
      <c r="AQ34" s="3529">
        <v>0</v>
      </c>
      <c r="AR34" s="3529">
        <v>0</v>
      </c>
    </row>
    <row r="35" spans="1:45" s="3216" customFormat="1" ht="14.25">
      <c r="A35" s="3529" t="s">
        <v>3139</v>
      </c>
      <c r="B35" s="3529">
        <v>2020026002</v>
      </c>
      <c r="C35" s="3525" t="s">
        <v>3048</v>
      </c>
      <c r="D35" s="3525" t="s">
        <v>3049</v>
      </c>
      <c r="E35" s="3529" t="s">
        <v>3369</v>
      </c>
      <c r="F35" s="3525" t="s">
        <v>3140</v>
      </c>
      <c r="G35" s="3525" t="s">
        <v>3051</v>
      </c>
      <c r="H35" s="3529">
        <v>44080</v>
      </c>
      <c r="I35" s="3529">
        <v>83752</v>
      </c>
      <c r="J35" s="3529" t="s">
        <v>3408</v>
      </c>
      <c r="K35" s="3525" t="s">
        <v>3358</v>
      </c>
      <c r="L35" s="3529" t="s">
        <v>3404</v>
      </c>
      <c r="M35" s="3525" t="s">
        <v>3052</v>
      </c>
      <c r="N35" s="3525" t="s">
        <v>3053</v>
      </c>
      <c r="O35" s="3525" t="s">
        <v>3056</v>
      </c>
      <c r="P35" s="3525" t="s">
        <v>3056</v>
      </c>
      <c r="Q35" s="3525" t="s">
        <v>3056</v>
      </c>
      <c r="R35" s="3525" t="s">
        <v>3056</v>
      </c>
      <c r="S35" s="3525" t="s">
        <v>3056</v>
      </c>
      <c r="T35" s="3525" t="s">
        <v>3056</v>
      </c>
      <c r="U35" s="3525" t="s">
        <v>3056</v>
      </c>
      <c r="V35" s="3525" t="s">
        <v>3056</v>
      </c>
      <c r="W35" s="3525" t="s">
        <v>3056</v>
      </c>
      <c r="X35" s="3527">
        <v>44074.000497685185</v>
      </c>
      <c r="Y35" s="3527">
        <v>44094.000497685185</v>
      </c>
      <c r="Z35" s="3527">
        <v>44103.000497685185</v>
      </c>
      <c r="AA35" s="3530">
        <v>44103.000497685185</v>
      </c>
      <c r="AB35" s="3525" t="s">
        <v>3138</v>
      </c>
      <c r="AC35" s="3525" t="s">
        <v>3058</v>
      </c>
      <c r="AD35" s="3529" t="s">
        <v>3406</v>
      </c>
      <c r="AE35" s="3529" t="s">
        <v>3407</v>
      </c>
      <c r="AF35" s="3525">
        <v>40994.400000000001</v>
      </c>
      <c r="AG35" s="3525">
        <v>20000</v>
      </c>
      <c r="AH35" s="3525">
        <v>64929.83</v>
      </c>
      <c r="AI35" s="3525">
        <v>620</v>
      </c>
      <c r="AJ35" s="3529">
        <v>982</v>
      </c>
      <c r="AK35" s="3525">
        <v>4895</v>
      </c>
      <c r="AL35" s="3529">
        <v>7753</v>
      </c>
      <c r="AM35" s="3525" t="s">
        <v>3056</v>
      </c>
      <c r="AN35" s="3525" t="s">
        <v>3056</v>
      </c>
      <c r="AO35" s="3529">
        <v>58.39</v>
      </c>
      <c r="AP35" s="3529" t="s">
        <v>3059</v>
      </c>
      <c r="AQ35" s="3529">
        <v>0</v>
      </c>
      <c r="AR35" s="3529">
        <v>0</v>
      </c>
    </row>
    <row r="36" spans="1:45" s="3300" customFormat="1" ht="14.25">
      <c r="A36" s="3533" t="s">
        <v>3141</v>
      </c>
      <c r="B36" s="3533">
        <v>2020022002</v>
      </c>
      <c r="C36" s="3525" t="s">
        <v>3048</v>
      </c>
      <c r="D36" s="3525" t="s">
        <v>3049</v>
      </c>
      <c r="E36" s="3533" t="s">
        <v>3382</v>
      </c>
      <c r="F36" s="3525" t="s">
        <v>3142</v>
      </c>
      <c r="G36" s="3525" t="s">
        <v>3051</v>
      </c>
      <c r="H36" s="3533">
        <v>35288</v>
      </c>
      <c r="I36" s="3533">
        <v>105864</v>
      </c>
      <c r="J36" s="3533" t="s">
        <v>3366</v>
      </c>
      <c r="K36" s="3525" t="s">
        <v>3358</v>
      </c>
      <c r="L36" s="3533" t="s">
        <v>3404</v>
      </c>
      <c r="M36" s="3525" t="s">
        <v>3052</v>
      </c>
      <c r="N36" s="3525" t="s">
        <v>3053</v>
      </c>
      <c r="O36" s="3525" t="s">
        <v>3056</v>
      </c>
      <c r="P36" s="3525" t="s">
        <v>3056</v>
      </c>
      <c r="Q36" s="3525" t="s">
        <v>3056</v>
      </c>
      <c r="R36" s="3525" t="s">
        <v>3056</v>
      </c>
      <c r="S36" s="3525" t="s">
        <v>3056</v>
      </c>
      <c r="T36" s="3525" t="s">
        <v>3056</v>
      </c>
      <c r="U36" s="3525" t="s">
        <v>3056</v>
      </c>
      <c r="V36" s="3525" t="s">
        <v>3056</v>
      </c>
      <c r="W36" s="3525" t="s">
        <v>3056</v>
      </c>
      <c r="X36" s="3527">
        <v>43990.000497685185</v>
      </c>
      <c r="Y36" s="3527">
        <v>44010.000497685185</v>
      </c>
      <c r="Z36" s="3527">
        <v>44020.000497685185</v>
      </c>
      <c r="AA36" s="3534">
        <v>44020.000497685185</v>
      </c>
      <c r="AB36" s="3525" t="s">
        <v>3143</v>
      </c>
      <c r="AC36" s="3525" t="s">
        <v>3058</v>
      </c>
      <c r="AD36" s="3533" t="s">
        <v>3409</v>
      </c>
      <c r="AE36" s="3533" t="s">
        <v>2776</v>
      </c>
      <c r="AF36" s="3525">
        <v>29751.31</v>
      </c>
      <c r="AG36" s="3525">
        <v>8000</v>
      </c>
      <c r="AH36" s="3525">
        <v>29751.31</v>
      </c>
      <c r="AI36" s="3525">
        <v>562.07000000000005</v>
      </c>
      <c r="AJ36" s="3533">
        <v>562.07000000000005</v>
      </c>
      <c r="AK36" s="3525">
        <v>2810</v>
      </c>
      <c r="AL36" s="3533">
        <v>2810</v>
      </c>
      <c r="AM36" s="3525" t="s">
        <v>3056</v>
      </c>
      <c r="AN36" s="3525" t="s">
        <v>3056</v>
      </c>
      <c r="AO36" s="3533">
        <v>0</v>
      </c>
      <c r="AP36" s="3533" t="s">
        <v>3059</v>
      </c>
      <c r="AQ36" s="3533">
        <v>0</v>
      </c>
      <c r="AR36" s="3533">
        <v>0</v>
      </c>
      <c r="AS36" s="3300" t="s">
        <v>3489</v>
      </c>
    </row>
    <row r="37" spans="1:45" s="3301" customFormat="1" ht="14.25">
      <c r="A37" s="3531" t="s">
        <v>3144</v>
      </c>
      <c r="B37" s="3531">
        <v>2020022001</v>
      </c>
      <c r="C37" s="3525" t="s">
        <v>3048</v>
      </c>
      <c r="D37" s="3525" t="s">
        <v>3049</v>
      </c>
      <c r="E37" s="3531" t="s">
        <v>3382</v>
      </c>
      <c r="F37" s="3525" t="s">
        <v>3145</v>
      </c>
      <c r="G37" s="3525" t="s">
        <v>3051</v>
      </c>
      <c r="H37" s="3531">
        <v>34818</v>
      </c>
      <c r="I37" s="3531">
        <v>104454</v>
      </c>
      <c r="J37" s="3531" t="s">
        <v>3366</v>
      </c>
      <c r="K37" s="3525" t="s">
        <v>3358</v>
      </c>
      <c r="L37" s="3531" t="s">
        <v>3404</v>
      </c>
      <c r="M37" s="3525" t="s">
        <v>3052</v>
      </c>
      <c r="N37" s="3525" t="s">
        <v>3053</v>
      </c>
      <c r="O37" s="3525" t="s">
        <v>3056</v>
      </c>
      <c r="P37" s="3525" t="s">
        <v>3056</v>
      </c>
      <c r="Q37" s="3525" t="s">
        <v>3056</v>
      </c>
      <c r="R37" s="3525" t="s">
        <v>3056</v>
      </c>
      <c r="S37" s="3525" t="s">
        <v>3056</v>
      </c>
      <c r="T37" s="3525" t="s">
        <v>3056</v>
      </c>
      <c r="U37" s="3525" t="s">
        <v>3056</v>
      </c>
      <c r="V37" s="3525" t="s">
        <v>3056</v>
      </c>
      <c r="W37" s="3525" t="s">
        <v>3056</v>
      </c>
      <c r="X37" s="3527">
        <v>43990.000497685185</v>
      </c>
      <c r="Y37" s="3527">
        <v>44010.000497685185</v>
      </c>
      <c r="Z37" s="3527">
        <v>44019.000497685185</v>
      </c>
      <c r="AA37" s="3532">
        <v>44019.000497685185</v>
      </c>
      <c r="AB37" s="3525" t="s">
        <v>3143</v>
      </c>
      <c r="AC37" s="3525" t="s">
        <v>3058</v>
      </c>
      <c r="AD37" s="3531" t="s">
        <v>3409</v>
      </c>
      <c r="AE37" s="3531" t="s">
        <v>2776</v>
      </c>
      <c r="AF37" s="3525">
        <v>29348.09</v>
      </c>
      <c r="AG37" s="3525">
        <v>8000</v>
      </c>
      <c r="AH37" s="3525">
        <v>29348.09</v>
      </c>
      <c r="AI37" s="3525">
        <v>561.92999999999995</v>
      </c>
      <c r="AJ37" s="3531">
        <v>561.92999999999995</v>
      </c>
      <c r="AK37" s="3525">
        <v>2810</v>
      </c>
      <c r="AL37" s="3531">
        <v>2810</v>
      </c>
      <c r="AM37" s="3525" t="s">
        <v>3056</v>
      </c>
      <c r="AN37" s="3525" t="s">
        <v>3056</v>
      </c>
      <c r="AO37" s="3531">
        <v>0</v>
      </c>
      <c r="AP37" s="3531" t="s">
        <v>3059</v>
      </c>
      <c r="AQ37" s="3531">
        <v>0</v>
      </c>
      <c r="AR37" s="3531">
        <v>0</v>
      </c>
    </row>
    <row r="38" spans="1:45" s="3216" customFormat="1" ht="14.25">
      <c r="A38" s="3529" t="s">
        <v>3146</v>
      </c>
      <c r="B38" s="3529">
        <v>2020018001</v>
      </c>
      <c r="C38" s="3525" t="s">
        <v>3048</v>
      </c>
      <c r="D38" s="3525" t="s">
        <v>3049</v>
      </c>
      <c r="E38" s="3529" t="s">
        <v>3369</v>
      </c>
      <c r="F38" s="3525" t="s">
        <v>3147</v>
      </c>
      <c r="G38" s="3525" t="s">
        <v>3051</v>
      </c>
      <c r="H38" s="3529">
        <v>23415</v>
      </c>
      <c r="I38" s="3529">
        <v>70245</v>
      </c>
      <c r="J38" s="3529" t="s">
        <v>3366</v>
      </c>
      <c r="K38" s="3525" t="s">
        <v>3358</v>
      </c>
      <c r="L38" s="3529" t="s">
        <v>3404</v>
      </c>
      <c r="M38" s="3525" t="s">
        <v>3052</v>
      </c>
      <c r="N38" s="3525" t="s">
        <v>3053</v>
      </c>
      <c r="O38" s="3525" t="s">
        <v>3148</v>
      </c>
      <c r="P38" s="3525" t="s">
        <v>3056</v>
      </c>
      <c r="Q38" s="3525" t="s">
        <v>3056</v>
      </c>
      <c r="R38" s="3525" t="s">
        <v>3056</v>
      </c>
      <c r="S38" s="3525" t="s">
        <v>3056</v>
      </c>
      <c r="T38" s="3525" t="s">
        <v>3056</v>
      </c>
      <c r="U38" s="3525" t="s">
        <v>3056</v>
      </c>
      <c r="V38" s="3525" t="s">
        <v>3056</v>
      </c>
      <c r="W38" s="3525" t="s">
        <v>3056</v>
      </c>
      <c r="X38" s="3527">
        <v>43972.000497685185</v>
      </c>
      <c r="Y38" s="3527">
        <v>43992.000497685185</v>
      </c>
      <c r="Z38" s="3527">
        <v>44001.000497685185</v>
      </c>
      <c r="AA38" s="3530">
        <v>44001.000497685185</v>
      </c>
      <c r="AB38" s="3525" t="s">
        <v>3149</v>
      </c>
      <c r="AC38" s="3525" t="s">
        <v>3058</v>
      </c>
      <c r="AD38" s="3529" t="s">
        <v>3410</v>
      </c>
      <c r="AE38" s="3529" t="s">
        <v>2776</v>
      </c>
      <c r="AF38" s="3525">
        <v>6628.78</v>
      </c>
      <c r="AG38" s="3525">
        <v>1800</v>
      </c>
      <c r="AH38" s="3525">
        <v>6628.78</v>
      </c>
      <c r="AI38" s="3525">
        <v>188.73</v>
      </c>
      <c r="AJ38" s="3529">
        <v>188.73</v>
      </c>
      <c r="AK38" s="3525">
        <v>944</v>
      </c>
      <c r="AL38" s="3529">
        <v>944</v>
      </c>
      <c r="AM38" s="3525" t="s">
        <v>3056</v>
      </c>
      <c r="AN38" s="3525" t="s">
        <v>3056</v>
      </c>
      <c r="AO38" s="3529">
        <v>0</v>
      </c>
      <c r="AP38" s="3529" t="s">
        <v>3059</v>
      </c>
      <c r="AQ38" s="3529">
        <v>0</v>
      </c>
      <c r="AR38" s="3529">
        <v>0</v>
      </c>
    </row>
    <row r="39" spans="1:45" s="3292" customFormat="1" ht="14.25" hidden="1" customHeight="1">
      <c r="A39" s="3526" t="s">
        <v>3150</v>
      </c>
      <c r="B39" s="3526">
        <v>2020016001</v>
      </c>
      <c r="C39" s="3525" t="s">
        <v>3048</v>
      </c>
      <c r="D39" s="3525" t="s">
        <v>3049</v>
      </c>
      <c r="E39" s="3526" t="s">
        <v>3411</v>
      </c>
      <c r="F39" s="3525" t="s">
        <v>3151</v>
      </c>
      <c r="G39" s="3525" t="s">
        <v>3051</v>
      </c>
      <c r="H39" s="3526">
        <v>27513</v>
      </c>
      <c r="I39" s="3526">
        <v>88041.600000000006</v>
      </c>
      <c r="J39" s="3526" t="s">
        <v>3400</v>
      </c>
      <c r="K39" s="3525" t="s">
        <v>3358</v>
      </c>
      <c r="L39" s="3526" t="s">
        <v>3404</v>
      </c>
      <c r="M39" s="3525" t="s">
        <v>3052</v>
      </c>
      <c r="N39" s="3525" t="s">
        <v>3053</v>
      </c>
      <c r="O39" s="3525" t="s">
        <v>3064</v>
      </c>
      <c r="P39" s="3525" t="s">
        <v>3056</v>
      </c>
      <c r="Q39" s="3525" t="s">
        <v>3056</v>
      </c>
      <c r="R39" s="3525" t="s">
        <v>3056</v>
      </c>
      <c r="S39" s="3525" t="s">
        <v>3056</v>
      </c>
      <c r="T39" s="3525" t="s">
        <v>3056</v>
      </c>
      <c r="U39" s="3525" t="s">
        <v>3056</v>
      </c>
      <c r="V39" s="3525" t="s">
        <v>3056</v>
      </c>
      <c r="W39" s="3525" t="s">
        <v>3056</v>
      </c>
      <c r="X39" s="3527">
        <v>43958.000497685185</v>
      </c>
      <c r="Y39" s="3527">
        <v>43978.000497685185</v>
      </c>
      <c r="Z39" s="3527">
        <v>43987.000497685185</v>
      </c>
      <c r="AA39" s="3528">
        <v>43987.000497685185</v>
      </c>
      <c r="AB39" s="3525" t="s">
        <v>3152</v>
      </c>
      <c r="AC39" s="3525" t="s">
        <v>3058</v>
      </c>
      <c r="AD39" s="3526" t="s">
        <v>3412</v>
      </c>
      <c r="AE39" s="3526" t="s">
        <v>3413</v>
      </c>
      <c r="AF39" s="3525">
        <v>16507.79</v>
      </c>
      <c r="AG39" s="3525">
        <v>3500</v>
      </c>
      <c r="AH39" s="3525">
        <v>16507.79</v>
      </c>
      <c r="AI39" s="3525">
        <v>400</v>
      </c>
      <c r="AJ39" s="3526">
        <v>400</v>
      </c>
      <c r="AK39" s="3525">
        <v>1875</v>
      </c>
      <c r="AL39" s="3526">
        <v>1875</v>
      </c>
      <c r="AM39" s="3525" t="s">
        <v>3056</v>
      </c>
      <c r="AN39" s="3525" t="s">
        <v>3056</v>
      </c>
      <c r="AO39" s="3526">
        <v>0</v>
      </c>
      <c r="AP39" s="3526" t="s">
        <v>3059</v>
      </c>
      <c r="AQ39" s="3526">
        <v>0</v>
      </c>
      <c r="AR39" s="3526">
        <v>0</v>
      </c>
    </row>
    <row r="40" spans="1:45" s="3292" customFormat="1" ht="14.25" hidden="1" customHeight="1">
      <c r="A40" s="3526" t="s">
        <v>3150</v>
      </c>
      <c r="B40" s="3526">
        <v>2020016003</v>
      </c>
      <c r="C40" s="3525" t="s">
        <v>3048</v>
      </c>
      <c r="D40" s="3525" t="s">
        <v>3049</v>
      </c>
      <c r="E40" s="3526" t="s">
        <v>3480</v>
      </c>
      <c r="F40" s="3525" t="s">
        <v>3151</v>
      </c>
      <c r="G40" s="3525" t="s">
        <v>3051</v>
      </c>
      <c r="H40" s="3526">
        <v>11128</v>
      </c>
      <c r="I40" s="3526">
        <v>35609.599999999999</v>
      </c>
      <c r="J40" s="3526" t="s">
        <v>3400</v>
      </c>
      <c r="K40" s="3525" t="s">
        <v>3358</v>
      </c>
      <c r="L40" s="3526" t="s">
        <v>3404</v>
      </c>
      <c r="M40" s="3525" t="s">
        <v>3052</v>
      </c>
      <c r="N40" s="3525" t="s">
        <v>3053</v>
      </c>
      <c r="O40" s="3525" t="s">
        <v>3064</v>
      </c>
      <c r="P40" s="3525" t="s">
        <v>3056</v>
      </c>
      <c r="Q40" s="3525" t="s">
        <v>3056</v>
      </c>
      <c r="R40" s="3525" t="s">
        <v>3056</v>
      </c>
      <c r="S40" s="3525" t="s">
        <v>3056</v>
      </c>
      <c r="T40" s="3525" t="s">
        <v>3056</v>
      </c>
      <c r="U40" s="3525" t="s">
        <v>3056</v>
      </c>
      <c r="V40" s="3525" t="s">
        <v>3056</v>
      </c>
      <c r="W40" s="3525" t="s">
        <v>3056</v>
      </c>
      <c r="X40" s="3527">
        <v>43958.000497685185</v>
      </c>
      <c r="Y40" s="3527">
        <v>43978.000497685185</v>
      </c>
      <c r="Z40" s="3527">
        <v>43987.000497685185</v>
      </c>
      <c r="AA40" s="3528">
        <v>43987.000497685185</v>
      </c>
      <c r="AB40" s="3525" t="s">
        <v>3152</v>
      </c>
      <c r="AC40" s="3525" t="s">
        <v>3058</v>
      </c>
      <c r="AD40" s="3526" t="s">
        <v>3412</v>
      </c>
      <c r="AE40" s="3526" t="s">
        <v>2776</v>
      </c>
      <c r="AF40" s="3525">
        <v>6676.8</v>
      </c>
      <c r="AG40" s="3525">
        <v>1500</v>
      </c>
      <c r="AH40" s="3525">
        <v>6676.8</v>
      </c>
      <c r="AI40" s="3525">
        <v>400</v>
      </c>
      <c r="AJ40" s="3526">
        <v>400</v>
      </c>
      <c r="AK40" s="3525">
        <v>1875</v>
      </c>
      <c r="AL40" s="3526">
        <v>1875</v>
      </c>
      <c r="AM40" s="3525" t="s">
        <v>3056</v>
      </c>
      <c r="AN40" s="3525" t="s">
        <v>3056</v>
      </c>
      <c r="AO40" s="3526">
        <v>0</v>
      </c>
      <c r="AP40" s="3526" t="s">
        <v>3059</v>
      </c>
      <c r="AQ40" s="3526">
        <v>0</v>
      </c>
      <c r="AR40" s="3526">
        <v>0</v>
      </c>
    </row>
    <row r="41" spans="1:45" s="3292" customFormat="1" ht="14.25" hidden="1" customHeight="1">
      <c r="A41" s="3526" t="s">
        <v>3150</v>
      </c>
      <c r="B41" s="3526">
        <v>2020016004</v>
      </c>
      <c r="C41" s="3525" t="s">
        <v>3048</v>
      </c>
      <c r="D41" s="3525" t="s">
        <v>3049</v>
      </c>
      <c r="E41" s="3526" t="s">
        <v>3411</v>
      </c>
      <c r="F41" s="3525" t="s">
        <v>3151</v>
      </c>
      <c r="G41" s="3525" t="s">
        <v>3051</v>
      </c>
      <c r="H41" s="3526">
        <v>21561</v>
      </c>
      <c r="I41" s="3526">
        <v>68995.199999999997</v>
      </c>
      <c r="J41" s="3526" t="s">
        <v>3400</v>
      </c>
      <c r="K41" s="3525" t="s">
        <v>3358</v>
      </c>
      <c r="L41" s="3526" t="s">
        <v>3404</v>
      </c>
      <c r="M41" s="3525" t="s">
        <v>3052</v>
      </c>
      <c r="N41" s="3525" t="s">
        <v>3053</v>
      </c>
      <c r="O41" s="3525" t="s">
        <v>3064</v>
      </c>
      <c r="P41" s="3525" t="s">
        <v>3056</v>
      </c>
      <c r="Q41" s="3525" t="s">
        <v>3056</v>
      </c>
      <c r="R41" s="3525" t="s">
        <v>3056</v>
      </c>
      <c r="S41" s="3525" t="s">
        <v>3056</v>
      </c>
      <c r="T41" s="3525" t="s">
        <v>3056</v>
      </c>
      <c r="U41" s="3525" t="s">
        <v>3056</v>
      </c>
      <c r="V41" s="3525" t="s">
        <v>3056</v>
      </c>
      <c r="W41" s="3525" t="s">
        <v>3056</v>
      </c>
      <c r="X41" s="3527">
        <v>43958.000497685185</v>
      </c>
      <c r="Y41" s="3527">
        <v>43978.000497685185</v>
      </c>
      <c r="Z41" s="3527">
        <v>43987.000497685185</v>
      </c>
      <c r="AA41" s="3528">
        <v>43987.000497685185</v>
      </c>
      <c r="AB41" s="3525" t="s">
        <v>3152</v>
      </c>
      <c r="AC41" s="3525" t="s">
        <v>3058</v>
      </c>
      <c r="AD41" s="3526" t="s">
        <v>3412</v>
      </c>
      <c r="AE41" s="3526" t="s">
        <v>3413</v>
      </c>
      <c r="AF41" s="3525">
        <v>12936.6</v>
      </c>
      <c r="AG41" s="3525">
        <v>2800</v>
      </c>
      <c r="AH41" s="3525">
        <v>12936.6</v>
      </c>
      <c r="AI41" s="3525">
        <v>400</v>
      </c>
      <c r="AJ41" s="3526">
        <v>400</v>
      </c>
      <c r="AK41" s="3525">
        <v>1875</v>
      </c>
      <c r="AL41" s="3526">
        <v>1875</v>
      </c>
      <c r="AM41" s="3525" t="s">
        <v>3056</v>
      </c>
      <c r="AN41" s="3525" t="s">
        <v>3056</v>
      </c>
      <c r="AO41" s="3526">
        <v>0</v>
      </c>
      <c r="AP41" s="3526" t="s">
        <v>3059</v>
      </c>
      <c r="AQ41" s="3526">
        <v>0</v>
      </c>
      <c r="AR41" s="3526">
        <v>0</v>
      </c>
    </row>
    <row r="42" spans="1:45" s="3292" customFormat="1" ht="14.25" hidden="1" customHeight="1">
      <c r="A42" s="3526" t="s">
        <v>3153</v>
      </c>
      <c r="B42" s="3526">
        <v>2020015001</v>
      </c>
      <c r="C42" s="3525" t="s">
        <v>3048</v>
      </c>
      <c r="D42" s="3525" t="s">
        <v>3049</v>
      </c>
      <c r="E42" s="3526" t="s">
        <v>3479</v>
      </c>
      <c r="F42" s="3525" t="s">
        <v>3154</v>
      </c>
      <c r="G42" s="3525" t="s">
        <v>3051</v>
      </c>
      <c r="H42" s="3526">
        <v>8916.4</v>
      </c>
      <c r="I42" s="3526">
        <v>28532.48</v>
      </c>
      <c r="J42" s="3526" t="s">
        <v>3400</v>
      </c>
      <c r="K42" s="3525" t="s">
        <v>3358</v>
      </c>
      <c r="L42" s="3526" t="s">
        <v>3404</v>
      </c>
      <c r="M42" s="3525" t="s">
        <v>3052</v>
      </c>
      <c r="N42" s="3525" t="s">
        <v>3053</v>
      </c>
      <c r="O42" s="3525" t="s">
        <v>3064</v>
      </c>
      <c r="P42" s="3525" t="s">
        <v>3056</v>
      </c>
      <c r="Q42" s="3525" t="s">
        <v>3056</v>
      </c>
      <c r="R42" s="3525" t="s">
        <v>3056</v>
      </c>
      <c r="S42" s="3525" t="s">
        <v>3056</v>
      </c>
      <c r="T42" s="3525" t="s">
        <v>3056</v>
      </c>
      <c r="U42" s="3525" t="s">
        <v>3056</v>
      </c>
      <c r="V42" s="3525" t="s">
        <v>3056</v>
      </c>
      <c r="W42" s="3525" t="s">
        <v>3056</v>
      </c>
      <c r="X42" s="3527">
        <v>43958.000497685185</v>
      </c>
      <c r="Y42" s="3527">
        <v>43978.000497685185</v>
      </c>
      <c r="Z42" s="3527">
        <v>43987.000497685185</v>
      </c>
      <c r="AA42" s="3528">
        <v>43987.000497685185</v>
      </c>
      <c r="AB42" s="3525" t="s">
        <v>3155</v>
      </c>
      <c r="AC42" s="3525" t="s">
        <v>3058</v>
      </c>
      <c r="AD42" s="3526" t="s">
        <v>3415</v>
      </c>
      <c r="AE42" s="3526" t="s">
        <v>2776</v>
      </c>
      <c r="AF42" s="3525">
        <v>6419.81</v>
      </c>
      <c r="AG42" s="3525">
        <v>1500</v>
      </c>
      <c r="AH42" s="3525">
        <v>6419.81</v>
      </c>
      <c r="AI42" s="3525">
        <v>480</v>
      </c>
      <c r="AJ42" s="3526">
        <v>480</v>
      </c>
      <c r="AK42" s="3525">
        <v>2250</v>
      </c>
      <c r="AL42" s="3526">
        <v>2250</v>
      </c>
      <c r="AM42" s="3525" t="s">
        <v>3056</v>
      </c>
      <c r="AN42" s="3525" t="s">
        <v>3056</v>
      </c>
      <c r="AO42" s="3526">
        <v>0</v>
      </c>
      <c r="AP42" s="3526" t="s">
        <v>3059</v>
      </c>
      <c r="AQ42" s="3526">
        <v>0</v>
      </c>
      <c r="AR42" s="3526">
        <v>0</v>
      </c>
    </row>
    <row r="43" spans="1:45" s="3292" customFormat="1" ht="14.25" hidden="1" customHeight="1">
      <c r="A43" s="3526" t="s">
        <v>3150</v>
      </c>
      <c r="B43" s="3526">
        <v>2020016002</v>
      </c>
      <c r="C43" s="3525" t="s">
        <v>3048</v>
      </c>
      <c r="D43" s="3525" t="s">
        <v>3049</v>
      </c>
      <c r="E43" s="3526" t="s">
        <v>3378</v>
      </c>
      <c r="F43" s="3525" t="s">
        <v>3151</v>
      </c>
      <c r="G43" s="3525" t="s">
        <v>3051</v>
      </c>
      <c r="H43" s="3526">
        <v>18588</v>
      </c>
      <c r="I43" s="3526">
        <v>59481.599999999999</v>
      </c>
      <c r="J43" s="3526" t="s">
        <v>3400</v>
      </c>
      <c r="K43" s="3525" t="s">
        <v>3358</v>
      </c>
      <c r="L43" s="3526" t="s">
        <v>3404</v>
      </c>
      <c r="M43" s="3525" t="s">
        <v>3052</v>
      </c>
      <c r="N43" s="3525" t="s">
        <v>3053</v>
      </c>
      <c r="O43" s="3525" t="s">
        <v>3064</v>
      </c>
      <c r="P43" s="3525" t="s">
        <v>3056</v>
      </c>
      <c r="Q43" s="3525" t="s">
        <v>3056</v>
      </c>
      <c r="R43" s="3525" t="s">
        <v>3056</v>
      </c>
      <c r="S43" s="3525" t="s">
        <v>3056</v>
      </c>
      <c r="T43" s="3525" t="s">
        <v>3056</v>
      </c>
      <c r="U43" s="3525" t="s">
        <v>3056</v>
      </c>
      <c r="V43" s="3525" t="s">
        <v>3056</v>
      </c>
      <c r="W43" s="3525" t="s">
        <v>3056</v>
      </c>
      <c r="X43" s="3527">
        <v>43958.000497685185</v>
      </c>
      <c r="Y43" s="3527">
        <v>43978.000497685185</v>
      </c>
      <c r="Z43" s="3527">
        <v>43987.000497685185</v>
      </c>
      <c r="AA43" s="3528">
        <v>43987.000497685185</v>
      </c>
      <c r="AB43" s="3525" t="s">
        <v>3152</v>
      </c>
      <c r="AC43" s="3525" t="s">
        <v>3058</v>
      </c>
      <c r="AD43" s="3526" t="s">
        <v>3412</v>
      </c>
      <c r="AE43" s="3526" t="s">
        <v>3413</v>
      </c>
      <c r="AF43" s="3525">
        <v>11152.79</v>
      </c>
      <c r="AG43" s="3525">
        <v>2500</v>
      </c>
      <c r="AH43" s="3525">
        <v>11152.79</v>
      </c>
      <c r="AI43" s="3525">
        <v>400</v>
      </c>
      <c r="AJ43" s="3526">
        <v>400</v>
      </c>
      <c r="AK43" s="3525">
        <v>1875</v>
      </c>
      <c r="AL43" s="3526">
        <v>1875</v>
      </c>
      <c r="AM43" s="3525" t="s">
        <v>3056</v>
      </c>
      <c r="AN43" s="3525" t="s">
        <v>3056</v>
      </c>
      <c r="AO43" s="3526">
        <v>0</v>
      </c>
      <c r="AP43" s="3526" t="s">
        <v>3059</v>
      </c>
      <c r="AQ43" s="3526">
        <v>0</v>
      </c>
      <c r="AR43" s="3526">
        <v>0</v>
      </c>
    </row>
    <row r="44" spans="1:45" s="3216" customFormat="1" ht="14.25">
      <c r="A44" s="3529" t="s">
        <v>3156</v>
      </c>
      <c r="B44" s="3529">
        <v>2020014001</v>
      </c>
      <c r="C44" s="3525" t="s">
        <v>3048</v>
      </c>
      <c r="D44" s="3525" t="s">
        <v>3049</v>
      </c>
      <c r="E44" s="3529" t="s">
        <v>3369</v>
      </c>
      <c r="F44" s="3525" t="s">
        <v>3157</v>
      </c>
      <c r="G44" s="3525" t="s">
        <v>3051</v>
      </c>
      <c r="H44" s="3529">
        <v>22512</v>
      </c>
      <c r="I44" s="3529">
        <v>40521.599999999999</v>
      </c>
      <c r="J44" s="3529" t="s">
        <v>3370</v>
      </c>
      <c r="K44" s="3525" t="s">
        <v>3358</v>
      </c>
      <c r="L44" s="3529" t="s">
        <v>3404</v>
      </c>
      <c r="M44" s="3525" t="s">
        <v>3052</v>
      </c>
      <c r="N44" s="3525" t="s">
        <v>3053</v>
      </c>
      <c r="O44" s="3525" t="s">
        <v>3056</v>
      </c>
      <c r="P44" s="3525" t="s">
        <v>3056</v>
      </c>
      <c r="Q44" s="3525" t="s">
        <v>3056</v>
      </c>
      <c r="R44" s="3525" t="s">
        <v>3056</v>
      </c>
      <c r="S44" s="3525" t="s">
        <v>3056</v>
      </c>
      <c r="T44" s="3525" t="s">
        <v>3056</v>
      </c>
      <c r="U44" s="3525" t="s">
        <v>3056</v>
      </c>
      <c r="V44" s="3525" t="s">
        <v>3056</v>
      </c>
      <c r="W44" s="3525" t="s">
        <v>3056</v>
      </c>
      <c r="X44" s="3527">
        <v>43957.000497685185</v>
      </c>
      <c r="Y44" s="3527">
        <v>43977.000497685185</v>
      </c>
      <c r="Z44" s="3527">
        <v>43986.000497685185</v>
      </c>
      <c r="AA44" s="3530">
        <v>43986.000497685185</v>
      </c>
      <c r="AB44" s="3525" t="s">
        <v>3158</v>
      </c>
      <c r="AC44" s="3525" t="s">
        <v>3058</v>
      </c>
      <c r="AD44" s="3529" t="s">
        <v>3380</v>
      </c>
      <c r="AE44" s="3529" t="s">
        <v>3416</v>
      </c>
      <c r="AF44" s="3525">
        <v>16546.310000000001</v>
      </c>
      <c r="AG44" s="3525">
        <v>5000</v>
      </c>
      <c r="AH44" s="3525">
        <v>19022.63</v>
      </c>
      <c r="AI44" s="3525">
        <v>490</v>
      </c>
      <c r="AJ44" s="3529">
        <v>563.33000000000004</v>
      </c>
      <c r="AK44" s="3525">
        <v>4083</v>
      </c>
      <c r="AL44" s="3529">
        <v>4694</v>
      </c>
      <c r="AM44" s="3525" t="s">
        <v>3056</v>
      </c>
      <c r="AN44" s="3525" t="s">
        <v>3056</v>
      </c>
      <c r="AO44" s="3529">
        <v>14.97</v>
      </c>
      <c r="AP44" s="3529" t="s">
        <v>3059</v>
      </c>
      <c r="AQ44" s="3529">
        <v>0</v>
      </c>
      <c r="AR44" s="3529">
        <v>0</v>
      </c>
    </row>
    <row r="45" spans="1:45" s="3216" customFormat="1" ht="14.25">
      <c r="A45" s="3529" t="s">
        <v>3159</v>
      </c>
      <c r="B45" s="3529">
        <v>2020013001</v>
      </c>
      <c r="C45" s="3525" t="s">
        <v>3048</v>
      </c>
      <c r="D45" s="3525" t="s">
        <v>3049</v>
      </c>
      <c r="E45" s="3529" t="s">
        <v>3382</v>
      </c>
      <c r="F45" s="3525" t="s">
        <v>3160</v>
      </c>
      <c r="G45" s="3525" t="s">
        <v>3051</v>
      </c>
      <c r="H45" s="3529">
        <v>68910</v>
      </c>
      <c r="I45" s="3529">
        <v>96474</v>
      </c>
      <c r="J45" s="3529" t="s">
        <v>3417</v>
      </c>
      <c r="K45" s="3525" t="s">
        <v>3358</v>
      </c>
      <c r="L45" s="3529" t="s">
        <v>3404</v>
      </c>
      <c r="M45" s="3525" t="s">
        <v>3052</v>
      </c>
      <c r="N45" s="3525" t="s">
        <v>3053</v>
      </c>
      <c r="O45" s="3525" t="s">
        <v>3148</v>
      </c>
      <c r="P45" s="3525" t="s">
        <v>3056</v>
      </c>
      <c r="Q45" s="3525" t="s">
        <v>3056</v>
      </c>
      <c r="R45" s="3525" t="s">
        <v>3056</v>
      </c>
      <c r="S45" s="3525" t="s">
        <v>3056</v>
      </c>
      <c r="T45" s="3525" t="s">
        <v>3056</v>
      </c>
      <c r="U45" s="3525" t="s">
        <v>3056</v>
      </c>
      <c r="V45" s="3525" t="s">
        <v>3056</v>
      </c>
      <c r="W45" s="3525" t="s">
        <v>3056</v>
      </c>
      <c r="X45" s="3527">
        <v>43951.000497685185</v>
      </c>
      <c r="Y45" s="3527">
        <v>43971.000497685185</v>
      </c>
      <c r="Z45" s="3527">
        <v>43980.000497685185</v>
      </c>
      <c r="AA45" s="3530">
        <v>43980.000497685185</v>
      </c>
      <c r="AB45" s="3525" t="s">
        <v>3161</v>
      </c>
      <c r="AC45" s="3525" t="s">
        <v>3058</v>
      </c>
      <c r="AD45" s="3529" t="s">
        <v>3418</v>
      </c>
      <c r="AE45" s="3529" t="s">
        <v>3419</v>
      </c>
      <c r="AF45" s="3525">
        <v>51682.5</v>
      </c>
      <c r="AG45" s="3525">
        <v>15000</v>
      </c>
      <c r="AH45" s="3525">
        <v>71459.66</v>
      </c>
      <c r="AI45" s="3525">
        <v>500</v>
      </c>
      <c r="AJ45" s="3529">
        <v>691.33</v>
      </c>
      <c r="AK45" s="3525">
        <v>5357</v>
      </c>
      <c r="AL45" s="3529">
        <v>7407</v>
      </c>
      <c r="AM45" s="3525" t="s">
        <v>3056</v>
      </c>
      <c r="AN45" s="3525" t="s">
        <v>3056</v>
      </c>
      <c r="AO45" s="3529">
        <v>38.270000000000003</v>
      </c>
      <c r="AP45" s="3529" t="s">
        <v>3059</v>
      </c>
      <c r="AQ45" s="3529">
        <v>0</v>
      </c>
      <c r="AR45" s="3529">
        <v>0</v>
      </c>
    </row>
    <row r="46" spans="1:45" s="3216" customFormat="1" ht="14.25">
      <c r="A46" s="3529" t="s">
        <v>3162</v>
      </c>
      <c r="B46" s="3529">
        <v>2020012003</v>
      </c>
      <c r="C46" s="3525" t="s">
        <v>3048</v>
      </c>
      <c r="D46" s="3525" t="s">
        <v>3049</v>
      </c>
      <c r="E46" s="3529" t="s">
        <v>3356</v>
      </c>
      <c r="F46" s="3525" t="s">
        <v>3163</v>
      </c>
      <c r="G46" s="3525" t="s">
        <v>3051</v>
      </c>
      <c r="H46" s="3529">
        <v>56422</v>
      </c>
      <c r="I46" s="3529">
        <v>180550.39999999999</v>
      </c>
      <c r="J46" s="3529" t="s">
        <v>3400</v>
      </c>
      <c r="K46" s="3525" t="s">
        <v>3358</v>
      </c>
      <c r="L46" s="3529" t="s">
        <v>3404</v>
      </c>
      <c r="M46" s="3525" t="s">
        <v>3052</v>
      </c>
      <c r="N46" s="3525" t="s">
        <v>3053</v>
      </c>
      <c r="O46" s="3525" t="s">
        <v>3064</v>
      </c>
      <c r="P46" s="3525" t="s">
        <v>3056</v>
      </c>
      <c r="Q46" s="3525" t="s">
        <v>3056</v>
      </c>
      <c r="R46" s="3525" t="s">
        <v>3056</v>
      </c>
      <c r="S46" s="3525" t="s">
        <v>3056</v>
      </c>
      <c r="T46" s="3525" t="s">
        <v>3056</v>
      </c>
      <c r="U46" s="3525" t="s">
        <v>3056</v>
      </c>
      <c r="V46" s="3525" t="s">
        <v>3056</v>
      </c>
      <c r="W46" s="3525" t="s">
        <v>3056</v>
      </c>
      <c r="X46" s="3527">
        <v>43949.000497685185</v>
      </c>
      <c r="Y46" s="3527">
        <v>43969.000497685185</v>
      </c>
      <c r="Z46" s="3527">
        <v>43978.000497685185</v>
      </c>
      <c r="AA46" s="3530">
        <v>43978.000497685185</v>
      </c>
      <c r="AB46" s="3525" t="s">
        <v>3164</v>
      </c>
      <c r="AC46" s="3525" t="s">
        <v>3058</v>
      </c>
      <c r="AD46" s="3529" t="s">
        <v>3360</v>
      </c>
      <c r="AE46" s="3529" t="s">
        <v>3420</v>
      </c>
      <c r="AF46" s="3525">
        <v>40623.83</v>
      </c>
      <c r="AG46" s="3525">
        <v>8500</v>
      </c>
      <c r="AH46" s="3525">
        <v>40623.83</v>
      </c>
      <c r="AI46" s="3525">
        <v>480</v>
      </c>
      <c r="AJ46" s="3529">
        <v>480</v>
      </c>
      <c r="AK46" s="3525">
        <v>2250</v>
      </c>
      <c r="AL46" s="3529">
        <v>2250</v>
      </c>
      <c r="AM46" s="3525" t="s">
        <v>3056</v>
      </c>
      <c r="AN46" s="3525" t="s">
        <v>3056</v>
      </c>
      <c r="AO46" s="3529">
        <v>0</v>
      </c>
      <c r="AP46" s="3529" t="s">
        <v>3059</v>
      </c>
      <c r="AQ46" s="3529">
        <v>0</v>
      </c>
      <c r="AR46" s="3529">
        <v>0</v>
      </c>
    </row>
    <row r="47" spans="1:45" s="3216" customFormat="1" ht="14.25">
      <c r="A47" s="3529" t="s">
        <v>3165</v>
      </c>
      <c r="B47" s="3529">
        <v>2020012001</v>
      </c>
      <c r="C47" s="3525" t="s">
        <v>3048</v>
      </c>
      <c r="D47" s="3525" t="s">
        <v>3049</v>
      </c>
      <c r="E47" s="3529" t="s">
        <v>3356</v>
      </c>
      <c r="F47" s="3525" t="s">
        <v>3166</v>
      </c>
      <c r="G47" s="3525" t="s">
        <v>3051</v>
      </c>
      <c r="H47" s="3529">
        <v>17683</v>
      </c>
      <c r="I47" s="3529">
        <v>56585.599999999999</v>
      </c>
      <c r="J47" s="3529" t="s">
        <v>3400</v>
      </c>
      <c r="K47" s="3525" t="s">
        <v>3358</v>
      </c>
      <c r="L47" s="3529" t="s">
        <v>3404</v>
      </c>
      <c r="M47" s="3525" t="s">
        <v>3052</v>
      </c>
      <c r="N47" s="3525" t="s">
        <v>3053</v>
      </c>
      <c r="O47" s="3525" t="s">
        <v>3064</v>
      </c>
      <c r="P47" s="3525" t="s">
        <v>3056</v>
      </c>
      <c r="Q47" s="3525" t="s">
        <v>3056</v>
      </c>
      <c r="R47" s="3525" t="s">
        <v>3056</v>
      </c>
      <c r="S47" s="3525" t="s">
        <v>3056</v>
      </c>
      <c r="T47" s="3525" t="s">
        <v>3056</v>
      </c>
      <c r="U47" s="3525" t="s">
        <v>3056</v>
      </c>
      <c r="V47" s="3525" t="s">
        <v>3056</v>
      </c>
      <c r="W47" s="3525" t="s">
        <v>3056</v>
      </c>
      <c r="X47" s="3527">
        <v>43949.000497685185</v>
      </c>
      <c r="Y47" s="3527">
        <v>43969.000497685185</v>
      </c>
      <c r="Z47" s="3527">
        <v>43978.000497685185</v>
      </c>
      <c r="AA47" s="3530">
        <v>43978.000497685185</v>
      </c>
      <c r="AB47" s="3525" t="s">
        <v>3164</v>
      </c>
      <c r="AC47" s="3525" t="s">
        <v>3058</v>
      </c>
      <c r="AD47" s="3529" t="s">
        <v>3360</v>
      </c>
      <c r="AE47" s="3529" t="s">
        <v>3420</v>
      </c>
      <c r="AF47" s="3525">
        <v>12731.76</v>
      </c>
      <c r="AG47" s="3525">
        <v>2800</v>
      </c>
      <c r="AH47" s="3525">
        <v>12731.76</v>
      </c>
      <c r="AI47" s="3525">
        <v>480</v>
      </c>
      <c r="AJ47" s="3529">
        <v>480</v>
      </c>
      <c r="AK47" s="3525">
        <v>2250</v>
      </c>
      <c r="AL47" s="3529">
        <v>2250</v>
      </c>
      <c r="AM47" s="3525" t="s">
        <v>3056</v>
      </c>
      <c r="AN47" s="3525" t="s">
        <v>3056</v>
      </c>
      <c r="AO47" s="3529">
        <v>0</v>
      </c>
      <c r="AP47" s="3529" t="s">
        <v>3059</v>
      </c>
      <c r="AQ47" s="3529">
        <v>0</v>
      </c>
      <c r="AR47" s="3529">
        <v>0</v>
      </c>
    </row>
    <row r="48" spans="1:45" s="3216" customFormat="1" ht="14.25">
      <c r="A48" s="3529" t="s">
        <v>3165</v>
      </c>
      <c r="B48" s="3529">
        <v>2020012002</v>
      </c>
      <c r="C48" s="3525" t="s">
        <v>3048</v>
      </c>
      <c r="D48" s="3525" t="s">
        <v>3049</v>
      </c>
      <c r="E48" s="3529" t="s">
        <v>3356</v>
      </c>
      <c r="F48" s="3525" t="s">
        <v>3166</v>
      </c>
      <c r="G48" s="3525" t="s">
        <v>3051</v>
      </c>
      <c r="H48" s="3529">
        <v>13364</v>
      </c>
      <c r="I48" s="3529">
        <v>42764.800000000003</v>
      </c>
      <c r="J48" s="3529" t="s">
        <v>3400</v>
      </c>
      <c r="K48" s="3525" t="s">
        <v>3358</v>
      </c>
      <c r="L48" s="3529" t="s">
        <v>3404</v>
      </c>
      <c r="M48" s="3525" t="s">
        <v>3052</v>
      </c>
      <c r="N48" s="3525" t="s">
        <v>3053</v>
      </c>
      <c r="O48" s="3525" t="s">
        <v>3064</v>
      </c>
      <c r="P48" s="3525" t="s">
        <v>3056</v>
      </c>
      <c r="Q48" s="3525" t="s">
        <v>3056</v>
      </c>
      <c r="R48" s="3525" t="s">
        <v>3056</v>
      </c>
      <c r="S48" s="3525" t="s">
        <v>3056</v>
      </c>
      <c r="T48" s="3525" t="s">
        <v>3056</v>
      </c>
      <c r="U48" s="3525" t="s">
        <v>3056</v>
      </c>
      <c r="V48" s="3525" t="s">
        <v>3056</v>
      </c>
      <c r="W48" s="3525" t="s">
        <v>3056</v>
      </c>
      <c r="X48" s="3527">
        <v>43949.000497685185</v>
      </c>
      <c r="Y48" s="3527">
        <v>43969.000497685185</v>
      </c>
      <c r="Z48" s="3527">
        <v>43978.000497685185</v>
      </c>
      <c r="AA48" s="3530">
        <v>43978.000497685185</v>
      </c>
      <c r="AB48" s="3525" t="s">
        <v>3164</v>
      </c>
      <c r="AC48" s="3525" t="s">
        <v>3058</v>
      </c>
      <c r="AD48" s="3529" t="s">
        <v>3360</v>
      </c>
      <c r="AE48" s="3529" t="s">
        <v>3420</v>
      </c>
      <c r="AF48" s="3525">
        <v>9622.07</v>
      </c>
      <c r="AG48" s="3525">
        <v>2100</v>
      </c>
      <c r="AH48" s="3525">
        <v>9622.07</v>
      </c>
      <c r="AI48" s="3525">
        <v>480</v>
      </c>
      <c r="AJ48" s="3529">
        <v>480</v>
      </c>
      <c r="AK48" s="3525">
        <v>2250</v>
      </c>
      <c r="AL48" s="3529">
        <v>2250</v>
      </c>
      <c r="AM48" s="3525" t="s">
        <v>3056</v>
      </c>
      <c r="AN48" s="3525" t="s">
        <v>3056</v>
      </c>
      <c r="AO48" s="3529">
        <v>0</v>
      </c>
      <c r="AP48" s="3529" t="s">
        <v>3059</v>
      </c>
      <c r="AQ48" s="3529">
        <v>0</v>
      </c>
      <c r="AR48" s="3529">
        <v>0</v>
      </c>
    </row>
    <row r="49" spans="1:46" s="3292" customFormat="1" ht="14.25" hidden="1" customHeight="1">
      <c r="A49" s="3526" t="s">
        <v>3150</v>
      </c>
      <c r="B49" s="3526">
        <v>2020010003</v>
      </c>
      <c r="C49" s="3525" t="s">
        <v>3048</v>
      </c>
      <c r="D49" s="3525" t="s">
        <v>3049</v>
      </c>
      <c r="E49" s="3526" t="s">
        <v>3378</v>
      </c>
      <c r="F49" s="3525" t="s">
        <v>3151</v>
      </c>
      <c r="G49" s="3525" t="s">
        <v>3051</v>
      </c>
      <c r="H49" s="3526">
        <v>4412</v>
      </c>
      <c r="I49" s="3526">
        <v>13236</v>
      </c>
      <c r="J49" s="3526" t="s">
        <v>3366</v>
      </c>
      <c r="K49" s="3525" t="s">
        <v>3358</v>
      </c>
      <c r="L49" s="3526" t="s">
        <v>3404</v>
      </c>
      <c r="M49" s="3525" t="s">
        <v>3052</v>
      </c>
      <c r="N49" s="3525" t="s">
        <v>3053</v>
      </c>
      <c r="O49" s="3525" t="s">
        <v>3167</v>
      </c>
      <c r="P49" s="3525" t="s">
        <v>3056</v>
      </c>
      <c r="Q49" s="3525" t="s">
        <v>3056</v>
      </c>
      <c r="R49" s="3525" t="s">
        <v>3056</v>
      </c>
      <c r="S49" s="3525" t="s">
        <v>3056</v>
      </c>
      <c r="T49" s="3525" t="s">
        <v>3056</v>
      </c>
      <c r="U49" s="3525" t="s">
        <v>3056</v>
      </c>
      <c r="V49" s="3525" t="s">
        <v>3056</v>
      </c>
      <c r="W49" s="3525" t="s">
        <v>3056</v>
      </c>
      <c r="X49" s="3527">
        <v>43935.000497685185</v>
      </c>
      <c r="Y49" s="3527">
        <v>43955.000497685185</v>
      </c>
      <c r="Z49" s="3527">
        <v>43964.000497685185</v>
      </c>
      <c r="AA49" s="3528">
        <v>43964.000497685185</v>
      </c>
      <c r="AB49" s="3525" t="s">
        <v>3168</v>
      </c>
      <c r="AC49" s="3525" t="s">
        <v>3058</v>
      </c>
      <c r="AD49" s="3526" t="s">
        <v>3421</v>
      </c>
      <c r="AE49" s="3526" t="s">
        <v>3422</v>
      </c>
      <c r="AF49" s="3525">
        <v>2647.19</v>
      </c>
      <c r="AG49" s="3525">
        <v>800</v>
      </c>
      <c r="AH49" s="3525">
        <v>2647.19</v>
      </c>
      <c r="AI49" s="3525">
        <v>400</v>
      </c>
      <c r="AJ49" s="3526">
        <v>400</v>
      </c>
      <c r="AK49" s="3525">
        <v>2000</v>
      </c>
      <c r="AL49" s="3526">
        <v>2000</v>
      </c>
      <c r="AM49" s="3525" t="s">
        <v>3056</v>
      </c>
      <c r="AN49" s="3525" t="s">
        <v>3056</v>
      </c>
      <c r="AO49" s="3526">
        <v>0</v>
      </c>
      <c r="AP49" s="3526" t="s">
        <v>3059</v>
      </c>
      <c r="AQ49" s="3526">
        <v>0</v>
      </c>
      <c r="AR49" s="3526">
        <v>0</v>
      </c>
    </row>
    <row r="50" spans="1:46" s="3292" customFormat="1" ht="14.25" hidden="1" customHeight="1">
      <c r="A50" s="3526" t="s">
        <v>3150</v>
      </c>
      <c r="B50" s="3526">
        <v>2020010002</v>
      </c>
      <c r="C50" s="3525" t="s">
        <v>3048</v>
      </c>
      <c r="D50" s="3525" t="s">
        <v>3049</v>
      </c>
      <c r="E50" s="3526" t="s">
        <v>3411</v>
      </c>
      <c r="F50" s="3525" t="s">
        <v>3151</v>
      </c>
      <c r="G50" s="3525" t="s">
        <v>3051</v>
      </c>
      <c r="H50" s="3526">
        <v>63483</v>
      </c>
      <c r="I50" s="3526">
        <v>203145.60000000001</v>
      </c>
      <c r="J50" s="3526" t="s">
        <v>3400</v>
      </c>
      <c r="K50" s="3525" t="s">
        <v>3358</v>
      </c>
      <c r="L50" s="3526" t="s">
        <v>3404</v>
      </c>
      <c r="M50" s="3525" t="s">
        <v>3052</v>
      </c>
      <c r="N50" s="3525" t="s">
        <v>3053</v>
      </c>
      <c r="O50" s="3525" t="s">
        <v>3064</v>
      </c>
      <c r="P50" s="3525" t="s">
        <v>3056</v>
      </c>
      <c r="Q50" s="3525" t="s">
        <v>3056</v>
      </c>
      <c r="R50" s="3525" t="s">
        <v>3056</v>
      </c>
      <c r="S50" s="3525" t="s">
        <v>3056</v>
      </c>
      <c r="T50" s="3525" t="s">
        <v>3056</v>
      </c>
      <c r="U50" s="3525" t="s">
        <v>3056</v>
      </c>
      <c r="V50" s="3525" t="s">
        <v>3056</v>
      </c>
      <c r="W50" s="3525" t="s">
        <v>3056</v>
      </c>
      <c r="X50" s="3527">
        <v>43935.000497685185</v>
      </c>
      <c r="Y50" s="3527">
        <v>43955.000497685185</v>
      </c>
      <c r="Z50" s="3527">
        <v>43964.000497685185</v>
      </c>
      <c r="AA50" s="3528">
        <v>43964.000497685185</v>
      </c>
      <c r="AB50" s="3525" t="s">
        <v>3168</v>
      </c>
      <c r="AC50" s="3525" t="s">
        <v>3058</v>
      </c>
      <c r="AD50" s="3526" t="s">
        <v>3421</v>
      </c>
      <c r="AE50" s="3526" t="s">
        <v>3422</v>
      </c>
      <c r="AF50" s="3525">
        <v>38089.800000000003</v>
      </c>
      <c r="AG50" s="3525">
        <v>8000</v>
      </c>
      <c r="AH50" s="3525">
        <v>38089.800000000003</v>
      </c>
      <c r="AI50" s="3525">
        <v>400</v>
      </c>
      <c r="AJ50" s="3526">
        <v>400</v>
      </c>
      <c r="AK50" s="3525">
        <v>1875</v>
      </c>
      <c r="AL50" s="3526">
        <v>1875</v>
      </c>
      <c r="AM50" s="3525" t="s">
        <v>3056</v>
      </c>
      <c r="AN50" s="3525" t="s">
        <v>3056</v>
      </c>
      <c r="AO50" s="3526">
        <v>0</v>
      </c>
      <c r="AP50" s="3526" t="s">
        <v>3059</v>
      </c>
      <c r="AQ50" s="3526">
        <v>0</v>
      </c>
      <c r="AR50" s="3526">
        <v>0</v>
      </c>
    </row>
    <row r="51" spans="1:46" s="3292" customFormat="1" ht="14.25" hidden="1" customHeight="1">
      <c r="A51" s="3526" t="s">
        <v>3150</v>
      </c>
      <c r="B51" s="3526">
        <v>2020010001</v>
      </c>
      <c r="C51" s="3525" t="s">
        <v>3048</v>
      </c>
      <c r="D51" s="3525" t="s">
        <v>3049</v>
      </c>
      <c r="E51" s="3526" t="s">
        <v>3378</v>
      </c>
      <c r="F51" s="3525" t="s">
        <v>3151</v>
      </c>
      <c r="G51" s="3525" t="s">
        <v>3051</v>
      </c>
      <c r="H51" s="3526">
        <v>9637</v>
      </c>
      <c r="I51" s="3526">
        <v>28911</v>
      </c>
      <c r="J51" s="3526" t="s">
        <v>3366</v>
      </c>
      <c r="K51" s="3525" t="s">
        <v>3358</v>
      </c>
      <c r="L51" s="3526" t="s">
        <v>3404</v>
      </c>
      <c r="M51" s="3525" t="s">
        <v>3052</v>
      </c>
      <c r="N51" s="3525" t="s">
        <v>3053</v>
      </c>
      <c r="O51" s="3525" t="s">
        <v>3064</v>
      </c>
      <c r="P51" s="3525" t="s">
        <v>3056</v>
      </c>
      <c r="Q51" s="3525" t="s">
        <v>3056</v>
      </c>
      <c r="R51" s="3525" t="s">
        <v>3056</v>
      </c>
      <c r="S51" s="3525" t="s">
        <v>3056</v>
      </c>
      <c r="T51" s="3525" t="s">
        <v>3056</v>
      </c>
      <c r="U51" s="3525" t="s">
        <v>3056</v>
      </c>
      <c r="V51" s="3525" t="s">
        <v>3056</v>
      </c>
      <c r="W51" s="3525" t="s">
        <v>3056</v>
      </c>
      <c r="X51" s="3527">
        <v>43935.000497685185</v>
      </c>
      <c r="Y51" s="3527">
        <v>43955.000497685185</v>
      </c>
      <c r="Z51" s="3527">
        <v>43964.000497685185</v>
      </c>
      <c r="AA51" s="3528">
        <v>43964.000497685185</v>
      </c>
      <c r="AB51" s="3525" t="s">
        <v>3168</v>
      </c>
      <c r="AC51" s="3525" t="s">
        <v>3058</v>
      </c>
      <c r="AD51" s="3526" t="s">
        <v>3421</v>
      </c>
      <c r="AE51" s="3526" t="s">
        <v>3422</v>
      </c>
      <c r="AF51" s="3525">
        <v>5836.17</v>
      </c>
      <c r="AG51" s="3525">
        <v>1400</v>
      </c>
      <c r="AH51" s="3525">
        <v>5836.17</v>
      </c>
      <c r="AI51" s="3525">
        <v>403.73</v>
      </c>
      <c r="AJ51" s="3526">
        <v>403.73</v>
      </c>
      <c r="AK51" s="3525">
        <v>2019</v>
      </c>
      <c r="AL51" s="3526">
        <v>2019</v>
      </c>
      <c r="AM51" s="3525" t="s">
        <v>3056</v>
      </c>
      <c r="AN51" s="3525" t="s">
        <v>3056</v>
      </c>
      <c r="AO51" s="3526">
        <v>0</v>
      </c>
      <c r="AP51" s="3526" t="s">
        <v>3059</v>
      </c>
      <c r="AQ51" s="3526">
        <v>0</v>
      </c>
      <c r="AR51" s="3526">
        <v>0</v>
      </c>
    </row>
    <row r="52" spans="1:46" s="3292" customFormat="1" ht="14.25" hidden="1" customHeight="1">
      <c r="A52" s="3526" t="s">
        <v>3150</v>
      </c>
      <c r="B52" s="3526">
        <v>2020010004</v>
      </c>
      <c r="C52" s="3525" t="s">
        <v>3048</v>
      </c>
      <c r="D52" s="3525" t="s">
        <v>3049</v>
      </c>
      <c r="E52" s="3526" t="s">
        <v>3378</v>
      </c>
      <c r="F52" s="3525" t="s">
        <v>3151</v>
      </c>
      <c r="G52" s="3525" t="s">
        <v>3051</v>
      </c>
      <c r="H52" s="3526">
        <v>5148</v>
      </c>
      <c r="I52" s="3526">
        <v>15444</v>
      </c>
      <c r="J52" s="3526" t="s">
        <v>3366</v>
      </c>
      <c r="K52" s="3525" t="s">
        <v>3358</v>
      </c>
      <c r="L52" s="3526" t="s">
        <v>3404</v>
      </c>
      <c r="M52" s="3525" t="s">
        <v>3052</v>
      </c>
      <c r="N52" s="3525" t="s">
        <v>3053</v>
      </c>
      <c r="O52" s="3525" t="s">
        <v>3167</v>
      </c>
      <c r="P52" s="3525" t="s">
        <v>3056</v>
      </c>
      <c r="Q52" s="3525" t="s">
        <v>3056</v>
      </c>
      <c r="R52" s="3525" t="s">
        <v>3056</v>
      </c>
      <c r="S52" s="3525" t="s">
        <v>3056</v>
      </c>
      <c r="T52" s="3525" t="s">
        <v>3056</v>
      </c>
      <c r="U52" s="3525" t="s">
        <v>3056</v>
      </c>
      <c r="V52" s="3525" t="s">
        <v>3056</v>
      </c>
      <c r="W52" s="3525" t="s">
        <v>3056</v>
      </c>
      <c r="X52" s="3527">
        <v>43935.000497685185</v>
      </c>
      <c r="Y52" s="3527">
        <v>43955.000497685185</v>
      </c>
      <c r="Z52" s="3527">
        <v>43964.000497685185</v>
      </c>
      <c r="AA52" s="3528">
        <v>43964.000497685185</v>
      </c>
      <c r="AB52" s="3525" t="s">
        <v>3168</v>
      </c>
      <c r="AC52" s="3525" t="s">
        <v>3058</v>
      </c>
      <c r="AD52" s="3526" t="s">
        <v>3421</v>
      </c>
      <c r="AE52" s="3526" t="s">
        <v>3422</v>
      </c>
      <c r="AF52" s="3525">
        <v>3088.8</v>
      </c>
      <c r="AG52" s="3525">
        <v>900</v>
      </c>
      <c r="AH52" s="3525">
        <v>3088.8</v>
      </c>
      <c r="AI52" s="3525">
        <v>400</v>
      </c>
      <c r="AJ52" s="3526">
        <v>400</v>
      </c>
      <c r="AK52" s="3525">
        <v>2000</v>
      </c>
      <c r="AL52" s="3526">
        <v>2000</v>
      </c>
      <c r="AM52" s="3525" t="s">
        <v>3056</v>
      </c>
      <c r="AN52" s="3525" t="s">
        <v>3056</v>
      </c>
      <c r="AO52" s="3526">
        <v>0</v>
      </c>
      <c r="AP52" s="3526" t="s">
        <v>3059</v>
      </c>
      <c r="AQ52" s="3526">
        <v>0</v>
      </c>
      <c r="AR52" s="3526">
        <v>0</v>
      </c>
    </row>
    <row r="53" spans="1:46" s="3292" customFormat="1" ht="14.25" hidden="1" customHeight="1">
      <c r="A53" s="3526" t="s">
        <v>3170</v>
      </c>
      <c r="B53" s="3526">
        <v>2020009001</v>
      </c>
      <c r="C53" s="3525" t="s">
        <v>3048</v>
      </c>
      <c r="D53" s="3525" t="s">
        <v>3049</v>
      </c>
      <c r="E53" s="3526" t="s">
        <v>3482</v>
      </c>
      <c r="F53" s="3525" t="s">
        <v>3171</v>
      </c>
      <c r="G53" s="3525" t="s">
        <v>3051</v>
      </c>
      <c r="H53" s="3526">
        <v>11784</v>
      </c>
      <c r="I53" s="3526">
        <v>32995.199999999997</v>
      </c>
      <c r="J53" s="3526" t="s">
        <v>3424</v>
      </c>
      <c r="K53" s="3525" t="s">
        <v>3358</v>
      </c>
      <c r="L53" s="3526" t="s">
        <v>3404</v>
      </c>
      <c r="M53" s="3525" t="s">
        <v>3052</v>
      </c>
      <c r="N53" s="3525" t="s">
        <v>3053</v>
      </c>
      <c r="O53" s="3525" t="s">
        <v>3064</v>
      </c>
      <c r="P53" s="3525" t="s">
        <v>3056</v>
      </c>
      <c r="Q53" s="3525" t="s">
        <v>3056</v>
      </c>
      <c r="R53" s="3525" t="s">
        <v>3056</v>
      </c>
      <c r="S53" s="3525" t="s">
        <v>3056</v>
      </c>
      <c r="T53" s="3525" t="s">
        <v>3056</v>
      </c>
      <c r="U53" s="3525" t="s">
        <v>3056</v>
      </c>
      <c r="V53" s="3525" t="s">
        <v>3056</v>
      </c>
      <c r="W53" s="3525" t="s">
        <v>3056</v>
      </c>
      <c r="X53" s="3527">
        <v>43931.000497685185</v>
      </c>
      <c r="Y53" s="3527">
        <v>43951.000497685185</v>
      </c>
      <c r="Z53" s="3527">
        <v>43960.000497685185</v>
      </c>
      <c r="AA53" s="3528">
        <v>43960.000497685185</v>
      </c>
      <c r="AB53" s="3525" t="s">
        <v>3168</v>
      </c>
      <c r="AC53" s="3525" t="s">
        <v>3058</v>
      </c>
      <c r="AD53" s="3526" t="s">
        <v>3425</v>
      </c>
      <c r="AE53" s="3526" t="s">
        <v>2776</v>
      </c>
      <c r="AF53" s="3525">
        <v>8484.4699999999993</v>
      </c>
      <c r="AG53" s="3525">
        <v>1900</v>
      </c>
      <c r="AH53" s="3525">
        <v>8484.4699999999993</v>
      </c>
      <c r="AI53" s="3525">
        <v>480</v>
      </c>
      <c r="AJ53" s="3526">
        <v>480</v>
      </c>
      <c r="AK53" s="3525">
        <v>2571</v>
      </c>
      <c r="AL53" s="3526">
        <v>2571</v>
      </c>
      <c r="AM53" s="3525" t="s">
        <v>3056</v>
      </c>
      <c r="AN53" s="3525" t="s">
        <v>3056</v>
      </c>
      <c r="AO53" s="3526">
        <v>0</v>
      </c>
      <c r="AP53" s="3526" t="s">
        <v>3059</v>
      </c>
      <c r="AQ53" s="3526">
        <v>0</v>
      </c>
      <c r="AR53" s="3526">
        <v>0</v>
      </c>
    </row>
    <row r="54" spans="1:46" s="3292" customFormat="1" ht="14.25" hidden="1" customHeight="1">
      <c r="A54" s="3526" t="s">
        <v>3172</v>
      </c>
      <c r="B54" s="3526">
        <v>2020009002</v>
      </c>
      <c r="C54" s="3525" t="s">
        <v>3048</v>
      </c>
      <c r="D54" s="3525" t="s">
        <v>3049</v>
      </c>
      <c r="E54" s="3526" t="s">
        <v>3423</v>
      </c>
      <c r="F54" s="3525" t="s">
        <v>3173</v>
      </c>
      <c r="G54" s="3525" t="s">
        <v>3051</v>
      </c>
      <c r="H54" s="3526">
        <v>9353</v>
      </c>
      <c r="I54" s="3526">
        <v>26188.400000000001</v>
      </c>
      <c r="J54" s="3526" t="s">
        <v>3424</v>
      </c>
      <c r="K54" s="3525" t="s">
        <v>3358</v>
      </c>
      <c r="L54" s="3526" t="s">
        <v>3404</v>
      </c>
      <c r="M54" s="3525" t="s">
        <v>3052</v>
      </c>
      <c r="N54" s="3525" t="s">
        <v>3053</v>
      </c>
      <c r="O54" s="3525" t="s">
        <v>3064</v>
      </c>
      <c r="P54" s="3525" t="s">
        <v>3056</v>
      </c>
      <c r="Q54" s="3525" t="s">
        <v>3056</v>
      </c>
      <c r="R54" s="3525" t="s">
        <v>3056</v>
      </c>
      <c r="S54" s="3525" t="s">
        <v>3056</v>
      </c>
      <c r="T54" s="3525" t="s">
        <v>3056</v>
      </c>
      <c r="U54" s="3525" t="s">
        <v>3056</v>
      </c>
      <c r="V54" s="3525" t="s">
        <v>3056</v>
      </c>
      <c r="W54" s="3525" t="s">
        <v>3056</v>
      </c>
      <c r="X54" s="3527">
        <v>43931.000497685185</v>
      </c>
      <c r="Y54" s="3527">
        <v>43951.000497685185</v>
      </c>
      <c r="Z54" s="3527">
        <v>43960.000497685185</v>
      </c>
      <c r="AA54" s="3528">
        <v>43960.000497685185</v>
      </c>
      <c r="AB54" s="3525" t="s">
        <v>3168</v>
      </c>
      <c r="AC54" s="3525" t="s">
        <v>3058</v>
      </c>
      <c r="AD54" s="3526" t="s">
        <v>3425</v>
      </c>
      <c r="AE54" s="3526" t="s">
        <v>2776</v>
      </c>
      <c r="AF54" s="3525">
        <v>6734.15</v>
      </c>
      <c r="AG54" s="3525">
        <v>1500</v>
      </c>
      <c r="AH54" s="3525">
        <v>6734.15</v>
      </c>
      <c r="AI54" s="3525">
        <v>480</v>
      </c>
      <c r="AJ54" s="3526">
        <v>480</v>
      </c>
      <c r="AK54" s="3525">
        <v>2571</v>
      </c>
      <c r="AL54" s="3526">
        <v>2571</v>
      </c>
      <c r="AM54" s="3525" t="s">
        <v>3056</v>
      </c>
      <c r="AN54" s="3525" t="s">
        <v>3056</v>
      </c>
      <c r="AO54" s="3526">
        <v>0</v>
      </c>
      <c r="AP54" s="3526" t="s">
        <v>3059</v>
      </c>
      <c r="AQ54" s="3526">
        <v>0</v>
      </c>
      <c r="AR54" s="3526">
        <v>0</v>
      </c>
    </row>
    <row r="55" spans="1:46" s="3302" customFormat="1" ht="14.25">
      <c r="A55" s="3539" t="s">
        <v>3174</v>
      </c>
      <c r="B55" s="3539">
        <v>2020006002</v>
      </c>
      <c r="C55" s="3525" t="s">
        <v>3048</v>
      </c>
      <c r="D55" s="3525" t="s">
        <v>3049</v>
      </c>
      <c r="E55" s="3539" t="s">
        <v>3382</v>
      </c>
      <c r="F55" s="3525" t="s">
        <v>3175</v>
      </c>
      <c r="G55" s="3525" t="s">
        <v>3051</v>
      </c>
      <c r="H55" s="3539">
        <v>21333</v>
      </c>
      <c r="I55" s="3539">
        <v>63999</v>
      </c>
      <c r="J55" s="3539" t="s">
        <v>3366</v>
      </c>
      <c r="K55" s="3525" t="s">
        <v>3358</v>
      </c>
      <c r="L55" s="3539" t="s">
        <v>3404</v>
      </c>
      <c r="M55" s="3525" t="s">
        <v>3052</v>
      </c>
      <c r="N55" s="3525" t="s">
        <v>3053</v>
      </c>
      <c r="O55" s="3525" t="s">
        <v>3056</v>
      </c>
      <c r="P55" s="3525" t="s">
        <v>3056</v>
      </c>
      <c r="Q55" s="3525" t="s">
        <v>3056</v>
      </c>
      <c r="R55" s="3525" t="s">
        <v>3056</v>
      </c>
      <c r="S55" s="3525" t="s">
        <v>3056</v>
      </c>
      <c r="T55" s="3525" t="s">
        <v>3056</v>
      </c>
      <c r="U55" s="3525" t="s">
        <v>3056</v>
      </c>
      <c r="V55" s="3525" t="s">
        <v>3056</v>
      </c>
      <c r="W55" s="3525" t="s">
        <v>3056</v>
      </c>
      <c r="X55" s="3527">
        <v>43880.000497685185</v>
      </c>
      <c r="Y55" s="3527">
        <v>43901.000497685185</v>
      </c>
      <c r="Z55" s="3527">
        <v>43913.000497685185</v>
      </c>
      <c r="AA55" s="3540">
        <v>43913.000497685185</v>
      </c>
      <c r="AB55" s="3525" t="s">
        <v>3168</v>
      </c>
      <c r="AC55" s="3525" t="s">
        <v>3058</v>
      </c>
      <c r="AD55" s="3539" t="s">
        <v>3426</v>
      </c>
      <c r="AE55" s="3539" t="s">
        <v>3426</v>
      </c>
      <c r="AF55" s="3525">
        <v>18529.84</v>
      </c>
      <c r="AG55" s="3525">
        <v>5000</v>
      </c>
      <c r="AH55" s="3525">
        <v>18529.84</v>
      </c>
      <c r="AI55" s="3525">
        <v>579.07000000000005</v>
      </c>
      <c r="AJ55" s="3539">
        <v>579.07000000000005</v>
      </c>
      <c r="AK55" s="3525">
        <v>2895</v>
      </c>
      <c r="AL55" s="3539">
        <v>2895</v>
      </c>
      <c r="AM55" s="3525" t="s">
        <v>3056</v>
      </c>
      <c r="AN55" s="3525" t="s">
        <v>3056</v>
      </c>
      <c r="AO55" s="3539">
        <v>0</v>
      </c>
      <c r="AP55" s="3539" t="s">
        <v>3059</v>
      </c>
      <c r="AQ55" s="3539">
        <v>0</v>
      </c>
      <c r="AR55" s="3539">
        <v>0</v>
      </c>
    </row>
    <row r="56" spans="1:46" s="3300" customFormat="1" ht="14.25">
      <c r="A56" s="3533" t="s">
        <v>3174</v>
      </c>
      <c r="B56" s="3533">
        <v>2020006001</v>
      </c>
      <c r="C56" s="3525" t="s">
        <v>3048</v>
      </c>
      <c r="D56" s="3525" t="s">
        <v>3049</v>
      </c>
      <c r="E56" s="3533" t="s">
        <v>3382</v>
      </c>
      <c r="F56" s="3525" t="s">
        <v>3175</v>
      </c>
      <c r="G56" s="3525" t="s">
        <v>3051</v>
      </c>
      <c r="H56" s="3533">
        <v>12000</v>
      </c>
      <c r="I56" s="3533">
        <v>36000</v>
      </c>
      <c r="J56" s="3533" t="s">
        <v>3366</v>
      </c>
      <c r="K56" s="3525" t="s">
        <v>3358</v>
      </c>
      <c r="L56" s="3533" t="s">
        <v>3404</v>
      </c>
      <c r="M56" s="3525" t="s">
        <v>3052</v>
      </c>
      <c r="N56" s="3525" t="s">
        <v>3053</v>
      </c>
      <c r="O56" s="3525" t="s">
        <v>3056</v>
      </c>
      <c r="P56" s="3525" t="s">
        <v>3056</v>
      </c>
      <c r="Q56" s="3525" t="s">
        <v>3056</v>
      </c>
      <c r="R56" s="3525" t="s">
        <v>3056</v>
      </c>
      <c r="S56" s="3525" t="s">
        <v>3056</v>
      </c>
      <c r="T56" s="3525" t="s">
        <v>3056</v>
      </c>
      <c r="U56" s="3525" t="s">
        <v>3056</v>
      </c>
      <c r="V56" s="3525" t="s">
        <v>3056</v>
      </c>
      <c r="W56" s="3525" t="s">
        <v>3056</v>
      </c>
      <c r="X56" s="3527">
        <v>43880.000497685185</v>
      </c>
      <c r="Y56" s="3527">
        <v>43901.000497685185</v>
      </c>
      <c r="Z56" s="3527">
        <v>43910.000497685185</v>
      </c>
      <c r="AA56" s="3534">
        <v>43910.000497685185</v>
      </c>
      <c r="AB56" s="3525" t="s">
        <v>3168</v>
      </c>
      <c r="AC56" s="3525" t="s">
        <v>3058</v>
      </c>
      <c r="AD56" s="3533" t="s">
        <v>3426</v>
      </c>
      <c r="AE56" s="3533" t="s">
        <v>3426</v>
      </c>
      <c r="AF56" s="3525">
        <v>10411.200000000001</v>
      </c>
      <c r="AG56" s="3525">
        <v>3000</v>
      </c>
      <c r="AH56" s="3525">
        <v>11411.2</v>
      </c>
      <c r="AI56" s="3525">
        <v>578.4</v>
      </c>
      <c r="AJ56" s="3533">
        <v>633.96</v>
      </c>
      <c r="AK56" s="3525">
        <v>2892</v>
      </c>
      <c r="AL56" s="3533">
        <v>3170</v>
      </c>
      <c r="AM56" s="3525" t="s">
        <v>3056</v>
      </c>
      <c r="AN56" s="3525" t="s">
        <v>3056</v>
      </c>
      <c r="AO56" s="3533">
        <v>9.61</v>
      </c>
      <c r="AP56" s="3533" t="s">
        <v>3059</v>
      </c>
      <c r="AQ56" s="3533">
        <v>0</v>
      </c>
      <c r="AR56" s="3533">
        <v>0</v>
      </c>
      <c r="AS56" s="3300" t="s">
        <v>3489</v>
      </c>
      <c r="AT56" s="3300">
        <f>AJ56/(1.096)</f>
        <v>578.43065693430651</v>
      </c>
    </row>
    <row r="57" spans="1:46" s="3292" customFormat="1" ht="14.25" hidden="1" customHeight="1">
      <c r="A57" s="3526" t="s">
        <v>3176</v>
      </c>
      <c r="B57" s="3526">
        <v>2020005005</v>
      </c>
      <c r="C57" s="3525" t="s">
        <v>3048</v>
      </c>
      <c r="D57" s="3525" t="s">
        <v>3049</v>
      </c>
      <c r="E57" s="3526" t="s">
        <v>3361</v>
      </c>
      <c r="F57" s="3525" t="s">
        <v>3177</v>
      </c>
      <c r="G57" s="3525" t="s">
        <v>3051</v>
      </c>
      <c r="H57" s="3526">
        <v>3525</v>
      </c>
      <c r="I57" s="3526">
        <v>10575</v>
      </c>
      <c r="J57" s="3526" t="s">
        <v>3366</v>
      </c>
      <c r="K57" s="3525" t="s">
        <v>3358</v>
      </c>
      <c r="L57" s="3526" t="s">
        <v>3404</v>
      </c>
      <c r="M57" s="3525" t="s">
        <v>3052</v>
      </c>
      <c r="N57" s="3525" t="s">
        <v>3053</v>
      </c>
      <c r="O57" s="3525" t="s">
        <v>3178</v>
      </c>
      <c r="P57" s="3525" t="s">
        <v>3056</v>
      </c>
      <c r="Q57" s="3525" t="s">
        <v>3056</v>
      </c>
      <c r="R57" s="3525" t="s">
        <v>3056</v>
      </c>
      <c r="S57" s="3525" t="s">
        <v>3056</v>
      </c>
      <c r="T57" s="3525" t="s">
        <v>3056</v>
      </c>
      <c r="U57" s="3525" t="s">
        <v>3056</v>
      </c>
      <c r="V57" s="3525" t="s">
        <v>3056</v>
      </c>
      <c r="W57" s="3525" t="s">
        <v>3056</v>
      </c>
      <c r="X57" s="3527">
        <v>43864.000497685185</v>
      </c>
      <c r="Y57" s="3527">
        <v>43884.000497685185</v>
      </c>
      <c r="Z57" s="3527">
        <v>43893.000497685185</v>
      </c>
      <c r="AA57" s="3528">
        <v>43893.000497685185</v>
      </c>
      <c r="AB57" s="3525" t="s">
        <v>3168</v>
      </c>
      <c r="AC57" s="3525" t="s">
        <v>3058</v>
      </c>
      <c r="AD57" s="3526" t="s">
        <v>3401</v>
      </c>
      <c r="AE57" s="3526" t="s">
        <v>2776</v>
      </c>
      <c r="AF57" s="3525">
        <v>2432.25</v>
      </c>
      <c r="AG57" s="3525">
        <v>500</v>
      </c>
      <c r="AH57" s="3525">
        <v>2432.25</v>
      </c>
      <c r="AI57" s="3525">
        <v>460</v>
      </c>
      <c r="AJ57" s="3526">
        <v>460</v>
      </c>
      <c r="AK57" s="3525">
        <v>2300</v>
      </c>
      <c r="AL57" s="3526">
        <v>2300</v>
      </c>
      <c r="AM57" s="3525" t="s">
        <v>3056</v>
      </c>
      <c r="AN57" s="3525" t="s">
        <v>3056</v>
      </c>
      <c r="AO57" s="3526">
        <v>0</v>
      </c>
      <c r="AP57" s="3526" t="s">
        <v>3059</v>
      </c>
      <c r="AQ57" s="3526">
        <v>0</v>
      </c>
      <c r="AR57" s="3526">
        <v>0</v>
      </c>
    </row>
    <row r="58" spans="1:46" s="3292" customFormat="1" ht="14.25" hidden="1" customHeight="1">
      <c r="A58" s="3526" t="s">
        <v>3081</v>
      </c>
      <c r="B58" s="3526">
        <v>2020005004</v>
      </c>
      <c r="C58" s="3525" t="s">
        <v>3048</v>
      </c>
      <c r="D58" s="3525" t="s">
        <v>3049</v>
      </c>
      <c r="E58" s="3526" t="s">
        <v>3361</v>
      </c>
      <c r="F58" s="3525" t="s">
        <v>3082</v>
      </c>
      <c r="G58" s="3525" t="s">
        <v>3051</v>
      </c>
      <c r="H58" s="3526">
        <v>24879</v>
      </c>
      <c r="I58" s="3526">
        <v>74637</v>
      </c>
      <c r="J58" s="3526" t="s">
        <v>3366</v>
      </c>
      <c r="K58" s="3525" t="s">
        <v>3358</v>
      </c>
      <c r="L58" s="3526" t="s">
        <v>3404</v>
      </c>
      <c r="M58" s="3525" t="s">
        <v>3052</v>
      </c>
      <c r="N58" s="3525" t="s">
        <v>3053</v>
      </c>
      <c r="O58" s="3525" t="s">
        <v>3178</v>
      </c>
      <c r="P58" s="3525" t="s">
        <v>3056</v>
      </c>
      <c r="Q58" s="3525" t="s">
        <v>3056</v>
      </c>
      <c r="R58" s="3525" t="s">
        <v>3056</v>
      </c>
      <c r="S58" s="3525" t="s">
        <v>3056</v>
      </c>
      <c r="T58" s="3525" t="s">
        <v>3056</v>
      </c>
      <c r="U58" s="3525" t="s">
        <v>3056</v>
      </c>
      <c r="V58" s="3525" t="s">
        <v>3056</v>
      </c>
      <c r="W58" s="3525" t="s">
        <v>3056</v>
      </c>
      <c r="X58" s="3527">
        <v>43864.000497685185</v>
      </c>
      <c r="Y58" s="3527">
        <v>43884.000497685185</v>
      </c>
      <c r="Z58" s="3527">
        <v>43893.000497685185</v>
      </c>
      <c r="AA58" s="3528">
        <v>43893.000497685185</v>
      </c>
      <c r="AB58" s="3525" t="s">
        <v>3168</v>
      </c>
      <c r="AC58" s="3525" t="s">
        <v>3058</v>
      </c>
      <c r="AD58" s="3526" t="s">
        <v>3401</v>
      </c>
      <c r="AE58" s="3526" t="s">
        <v>2776</v>
      </c>
      <c r="AF58" s="3525">
        <v>17166.5</v>
      </c>
      <c r="AG58" s="3525">
        <v>3600</v>
      </c>
      <c r="AH58" s="3525">
        <v>17166.5</v>
      </c>
      <c r="AI58" s="3525">
        <v>460</v>
      </c>
      <c r="AJ58" s="3526">
        <v>460</v>
      </c>
      <c r="AK58" s="3525">
        <v>2300</v>
      </c>
      <c r="AL58" s="3526">
        <v>2300</v>
      </c>
      <c r="AM58" s="3525" t="s">
        <v>3056</v>
      </c>
      <c r="AN58" s="3525" t="s">
        <v>3056</v>
      </c>
      <c r="AO58" s="3526">
        <v>0</v>
      </c>
      <c r="AP58" s="3526" t="s">
        <v>3059</v>
      </c>
      <c r="AQ58" s="3526">
        <v>0</v>
      </c>
      <c r="AR58" s="3526">
        <v>0</v>
      </c>
    </row>
    <row r="59" spans="1:46" s="3292" customFormat="1" ht="14.25" hidden="1" customHeight="1">
      <c r="A59" s="3526" t="s">
        <v>3176</v>
      </c>
      <c r="B59" s="3526">
        <v>2020005007</v>
      </c>
      <c r="C59" s="3525" t="s">
        <v>3048</v>
      </c>
      <c r="D59" s="3525" t="s">
        <v>3049</v>
      </c>
      <c r="E59" s="3526" t="s">
        <v>3361</v>
      </c>
      <c r="F59" s="3525" t="s">
        <v>3177</v>
      </c>
      <c r="G59" s="3525" t="s">
        <v>3051</v>
      </c>
      <c r="H59" s="3526">
        <v>1065</v>
      </c>
      <c r="I59" s="3526">
        <v>3195</v>
      </c>
      <c r="J59" s="3526" t="s">
        <v>3366</v>
      </c>
      <c r="K59" s="3525" t="s">
        <v>3358</v>
      </c>
      <c r="L59" s="3526" t="s">
        <v>3404</v>
      </c>
      <c r="M59" s="3525" t="s">
        <v>3052</v>
      </c>
      <c r="N59" s="3525" t="s">
        <v>3053</v>
      </c>
      <c r="O59" s="3525" t="s">
        <v>3178</v>
      </c>
      <c r="P59" s="3525" t="s">
        <v>3056</v>
      </c>
      <c r="Q59" s="3525" t="s">
        <v>3056</v>
      </c>
      <c r="R59" s="3525" t="s">
        <v>3056</v>
      </c>
      <c r="S59" s="3525" t="s">
        <v>3056</v>
      </c>
      <c r="T59" s="3525" t="s">
        <v>3056</v>
      </c>
      <c r="U59" s="3525" t="s">
        <v>3056</v>
      </c>
      <c r="V59" s="3525" t="s">
        <v>3056</v>
      </c>
      <c r="W59" s="3525" t="s">
        <v>3056</v>
      </c>
      <c r="X59" s="3527">
        <v>43864.000497685185</v>
      </c>
      <c r="Y59" s="3527">
        <v>43884.000497685185</v>
      </c>
      <c r="Z59" s="3527">
        <v>43893.000497685185</v>
      </c>
      <c r="AA59" s="3528">
        <v>43893.000497685185</v>
      </c>
      <c r="AB59" s="3525" t="s">
        <v>3168</v>
      </c>
      <c r="AC59" s="3525" t="s">
        <v>3058</v>
      </c>
      <c r="AD59" s="3526" t="s">
        <v>3401</v>
      </c>
      <c r="AE59" s="3526" t="s">
        <v>2776</v>
      </c>
      <c r="AF59" s="3525">
        <v>734.85</v>
      </c>
      <c r="AG59" s="3525">
        <v>300</v>
      </c>
      <c r="AH59" s="3525">
        <v>734.85</v>
      </c>
      <c r="AI59" s="3525">
        <v>460</v>
      </c>
      <c r="AJ59" s="3526">
        <v>460</v>
      </c>
      <c r="AK59" s="3525">
        <v>2300</v>
      </c>
      <c r="AL59" s="3526">
        <v>2300</v>
      </c>
      <c r="AM59" s="3525" t="s">
        <v>3056</v>
      </c>
      <c r="AN59" s="3525" t="s">
        <v>3056</v>
      </c>
      <c r="AO59" s="3526">
        <v>0</v>
      </c>
      <c r="AP59" s="3526" t="s">
        <v>3059</v>
      </c>
      <c r="AQ59" s="3526">
        <v>0</v>
      </c>
      <c r="AR59" s="3526">
        <v>0</v>
      </c>
    </row>
    <row r="60" spans="1:46" s="3292" customFormat="1" ht="14.25" hidden="1" customHeight="1">
      <c r="A60" s="3526" t="s">
        <v>3179</v>
      </c>
      <c r="B60" s="3526">
        <v>2020005001</v>
      </c>
      <c r="C60" s="3525" t="s">
        <v>3048</v>
      </c>
      <c r="D60" s="3525" t="s">
        <v>3049</v>
      </c>
      <c r="E60" s="3526" t="s">
        <v>3361</v>
      </c>
      <c r="F60" s="3525" t="s">
        <v>3180</v>
      </c>
      <c r="G60" s="3525" t="s">
        <v>3051</v>
      </c>
      <c r="H60" s="3526">
        <v>2034</v>
      </c>
      <c r="I60" s="3526">
        <v>6102</v>
      </c>
      <c r="J60" s="3526" t="s">
        <v>3366</v>
      </c>
      <c r="K60" s="3525" t="s">
        <v>3358</v>
      </c>
      <c r="L60" s="3526" t="s">
        <v>3404</v>
      </c>
      <c r="M60" s="3525" t="s">
        <v>3052</v>
      </c>
      <c r="N60" s="3525" t="s">
        <v>3053</v>
      </c>
      <c r="O60" s="3525" t="s">
        <v>3178</v>
      </c>
      <c r="P60" s="3525" t="s">
        <v>3056</v>
      </c>
      <c r="Q60" s="3525" t="s">
        <v>3056</v>
      </c>
      <c r="R60" s="3525" t="s">
        <v>3056</v>
      </c>
      <c r="S60" s="3525" t="s">
        <v>3056</v>
      </c>
      <c r="T60" s="3525" t="s">
        <v>3056</v>
      </c>
      <c r="U60" s="3525" t="s">
        <v>3056</v>
      </c>
      <c r="V60" s="3525" t="s">
        <v>3056</v>
      </c>
      <c r="W60" s="3525" t="s">
        <v>3056</v>
      </c>
      <c r="X60" s="3527">
        <v>43864.000497685185</v>
      </c>
      <c r="Y60" s="3527">
        <v>43884.000497685185</v>
      </c>
      <c r="Z60" s="3527">
        <v>43893.000497685185</v>
      </c>
      <c r="AA60" s="3528">
        <v>43893.000497685185</v>
      </c>
      <c r="AB60" s="3525" t="s">
        <v>3168</v>
      </c>
      <c r="AC60" s="3525" t="s">
        <v>3058</v>
      </c>
      <c r="AD60" s="3526" t="s">
        <v>3401</v>
      </c>
      <c r="AE60" s="3526" t="s">
        <v>2776</v>
      </c>
      <c r="AF60" s="3525">
        <v>1403.46</v>
      </c>
      <c r="AG60" s="3525">
        <v>300</v>
      </c>
      <c r="AH60" s="3525">
        <v>1403.46</v>
      </c>
      <c r="AI60" s="3525">
        <v>460</v>
      </c>
      <c r="AJ60" s="3526">
        <v>460</v>
      </c>
      <c r="AK60" s="3525">
        <v>2300</v>
      </c>
      <c r="AL60" s="3526">
        <v>2300</v>
      </c>
      <c r="AM60" s="3525" t="s">
        <v>3056</v>
      </c>
      <c r="AN60" s="3525" t="s">
        <v>3056</v>
      </c>
      <c r="AO60" s="3526">
        <v>0</v>
      </c>
      <c r="AP60" s="3526" t="s">
        <v>3059</v>
      </c>
      <c r="AQ60" s="3526">
        <v>0</v>
      </c>
      <c r="AR60" s="3526">
        <v>0</v>
      </c>
    </row>
    <row r="61" spans="1:46" s="3292" customFormat="1" ht="14.25" hidden="1" customHeight="1">
      <c r="A61" s="3526" t="s">
        <v>3176</v>
      </c>
      <c r="B61" s="3526">
        <v>2020005006</v>
      </c>
      <c r="C61" s="3525" t="s">
        <v>3048</v>
      </c>
      <c r="D61" s="3525" t="s">
        <v>3049</v>
      </c>
      <c r="E61" s="3526" t="s">
        <v>3361</v>
      </c>
      <c r="F61" s="3525" t="s">
        <v>3177</v>
      </c>
      <c r="G61" s="3525" t="s">
        <v>3051</v>
      </c>
      <c r="H61" s="3526">
        <v>2911</v>
      </c>
      <c r="I61" s="3526">
        <v>8733</v>
      </c>
      <c r="J61" s="3526" t="s">
        <v>3366</v>
      </c>
      <c r="K61" s="3525" t="s">
        <v>3358</v>
      </c>
      <c r="L61" s="3526" t="s">
        <v>3404</v>
      </c>
      <c r="M61" s="3525" t="s">
        <v>3052</v>
      </c>
      <c r="N61" s="3525" t="s">
        <v>3053</v>
      </c>
      <c r="O61" s="3525" t="s">
        <v>3178</v>
      </c>
      <c r="P61" s="3525" t="s">
        <v>3056</v>
      </c>
      <c r="Q61" s="3525" t="s">
        <v>3056</v>
      </c>
      <c r="R61" s="3525" t="s">
        <v>3056</v>
      </c>
      <c r="S61" s="3525" t="s">
        <v>3056</v>
      </c>
      <c r="T61" s="3525" t="s">
        <v>3056</v>
      </c>
      <c r="U61" s="3525" t="s">
        <v>3056</v>
      </c>
      <c r="V61" s="3525" t="s">
        <v>3056</v>
      </c>
      <c r="W61" s="3525" t="s">
        <v>3056</v>
      </c>
      <c r="X61" s="3527">
        <v>43864.000497685185</v>
      </c>
      <c r="Y61" s="3527">
        <v>43884.000497685185</v>
      </c>
      <c r="Z61" s="3527">
        <v>43893.000497685185</v>
      </c>
      <c r="AA61" s="3528">
        <v>43893.000497685185</v>
      </c>
      <c r="AB61" s="3525" t="s">
        <v>3168</v>
      </c>
      <c r="AC61" s="3525" t="s">
        <v>3058</v>
      </c>
      <c r="AD61" s="3526" t="s">
        <v>3401</v>
      </c>
      <c r="AE61" s="3526" t="s">
        <v>2776</v>
      </c>
      <c r="AF61" s="3525">
        <v>2008.58</v>
      </c>
      <c r="AG61" s="3525">
        <v>500</v>
      </c>
      <c r="AH61" s="3525">
        <v>2008.58</v>
      </c>
      <c r="AI61" s="3525">
        <v>460</v>
      </c>
      <c r="AJ61" s="3526">
        <v>460</v>
      </c>
      <c r="AK61" s="3525">
        <v>2300</v>
      </c>
      <c r="AL61" s="3526">
        <v>2300</v>
      </c>
      <c r="AM61" s="3525" t="s">
        <v>3056</v>
      </c>
      <c r="AN61" s="3525" t="s">
        <v>3056</v>
      </c>
      <c r="AO61" s="3526">
        <v>0</v>
      </c>
      <c r="AP61" s="3526" t="s">
        <v>3059</v>
      </c>
      <c r="AQ61" s="3526">
        <v>0</v>
      </c>
      <c r="AR61" s="3526">
        <v>0</v>
      </c>
    </row>
    <row r="62" spans="1:46" s="3292" customFormat="1" ht="14.25" hidden="1" customHeight="1">
      <c r="A62" s="3526" t="s">
        <v>3181</v>
      </c>
      <c r="B62" s="3526">
        <v>2020005002</v>
      </c>
      <c r="C62" s="3525" t="s">
        <v>3048</v>
      </c>
      <c r="D62" s="3525" t="s">
        <v>3049</v>
      </c>
      <c r="E62" s="3526" t="s">
        <v>3361</v>
      </c>
      <c r="F62" s="3525" t="s">
        <v>3182</v>
      </c>
      <c r="G62" s="3525" t="s">
        <v>3051</v>
      </c>
      <c r="H62" s="3526">
        <v>11677</v>
      </c>
      <c r="I62" s="3526">
        <v>35031</v>
      </c>
      <c r="J62" s="3526" t="s">
        <v>3366</v>
      </c>
      <c r="K62" s="3525" t="s">
        <v>3358</v>
      </c>
      <c r="L62" s="3526" t="s">
        <v>3404</v>
      </c>
      <c r="M62" s="3525" t="s">
        <v>3052</v>
      </c>
      <c r="N62" s="3525" t="s">
        <v>3053</v>
      </c>
      <c r="O62" s="3525" t="s">
        <v>3178</v>
      </c>
      <c r="P62" s="3525" t="s">
        <v>3056</v>
      </c>
      <c r="Q62" s="3525" t="s">
        <v>3056</v>
      </c>
      <c r="R62" s="3525" t="s">
        <v>3056</v>
      </c>
      <c r="S62" s="3525" t="s">
        <v>3056</v>
      </c>
      <c r="T62" s="3525" t="s">
        <v>3056</v>
      </c>
      <c r="U62" s="3525" t="s">
        <v>3056</v>
      </c>
      <c r="V62" s="3525" t="s">
        <v>3056</v>
      </c>
      <c r="W62" s="3525" t="s">
        <v>3056</v>
      </c>
      <c r="X62" s="3527">
        <v>43864.000497685185</v>
      </c>
      <c r="Y62" s="3527">
        <v>43884.000497685185</v>
      </c>
      <c r="Z62" s="3527">
        <v>43893.000497685185</v>
      </c>
      <c r="AA62" s="3528">
        <v>43893.000497685185</v>
      </c>
      <c r="AB62" s="3525" t="s">
        <v>3168</v>
      </c>
      <c r="AC62" s="3525" t="s">
        <v>3058</v>
      </c>
      <c r="AD62" s="3526" t="s">
        <v>3401</v>
      </c>
      <c r="AE62" s="3526" t="s">
        <v>2776</v>
      </c>
      <c r="AF62" s="3525">
        <v>8057.13</v>
      </c>
      <c r="AG62" s="3525">
        <v>1800</v>
      </c>
      <c r="AH62" s="3525">
        <v>8057.13</v>
      </c>
      <c r="AI62" s="3525">
        <v>460</v>
      </c>
      <c r="AJ62" s="3526">
        <v>460</v>
      </c>
      <c r="AK62" s="3525">
        <v>2300</v>
      </c>
      <c r="AL62" s="3526">
        <v>2300</v>
      </c>
      <c r="AM62" s="3525" t="s">
        <v>3056</v>
      </c>
      <c r="AN62" s="3525" t="s">
        <v>3056</v>
      </c>
      <c r="AO62" s="3526">
        <v>0</v>
      </c>
      <c r="AP62" s="3526" t="s">
        <v>3059</v>
      </c>
      <c r="AQ62" s="3526">
        <v>0</v>
      </c>
      <c r="AR62" s="3526">
        <v>0</v>
      </c>
    </row>
    <row r="63" spans="1:46" s="3292" customFormat="1" ht="14.25" hidden="1" customHeight="1">
      <c r="A63" s="3526" t="s">
        <v>3081</v>
      </c>
      <c r="B63" s="3526">
        <v>2020005003</v>
      </c>
      <c r="C63" s="3525" t="s">
        <v>3048</v>
      </c>
      <c r="D63" s="3525" t="s">
        <v>3049</v>
      </c>
      <c r="E63" s="3526" t="s">
        <v>3361</v>
      </c>
      <c r="F63" s="3525" t="s">
        <v>3082</v>
      </c>
      <c r="G63" s="3525" t="s">
        <v>3051</v>
      </c>
      <c r="H63" s="3526">
        <v>31794</v>
      </c>
      <c r="I63" s="3526">
        <v>95382</v>
      </c>
      <c r="J63" s="3526" t="s">
        <v>3366</v>
      </c>
      <c r="K63" s="3525" t="s">
        <v>3358</v>
      </c>
      <c r="L63" s="3526" t="s">
        <v>3404</v>
      </c>
      <c r="M63" s="3525" t="s">
        <v>3052</v>
      </c>
      <c r="N63" s="3525" t="s">
        <v>3053</v>
      </c>
      <c r="O63" s="3525" t="s">
        <v>3178</v>
      </c>
      <c r="P63" s="3525" t="s">
        <v>3056</v>
      </c>
      <c r="Q63" s="3525" t="s">
        <v>3056</v>
      </c>
      <c r="R63" s="3525" t="s">
        <v>3056</v>
      </c>
      <c r="S63" s="3525" t="s">
        <v>3056</v>
      </c>
      <c r="T63" s="3525" t="s">
        <v>3056</v>
      </c>
      <c r="U63" s="3525" t="s">
        <v>3056</v>
      </c>
      <c r="V63" s="3525" t="s">
        <v>3056</v>
      </c>
      <c r="W63" s="3525" t="s">
        <v>3056</v>
      </c>
      <c r="X63" s="3527">
        <v>43864.000497685185</v>
      </c>
      <c r="Y63" s="3527">
        <v>43884.000497685185</v>
      </c>
      <c r="Z63" s="3527">
        <v>43893.000497685185</v>
      </c>
      <c r="AA63" s="3528">
        <v>43893.000497685185</v>
      </c>
      <c r="AB63" s="3525" t="s">
        <v>3168</v>
      </c>
      <c r="AC63" s="3525" t="s">
        <v>3058</v>
      </c>
      <c r="AD63" s="3526" t="s">
        <v>3401</v>
      </c>
      <c r="AE63" s="3526" t="s">
        <v>2776</v>
      </c>
      <c r="AF63" s="3525">
        <v>21937.86</v>
      </c>
      <c r="AG63" s="3525">
        <v>4500</v>
      </c>
      <c r="AH63" s="3525">
        <v>21937.86</v>
      </c>
      <c r="AI63" s="3525">
        <v>460</v>
      </c>
      <c r="AJ63" s="3526">
        <v>460</v>
      </c>
      <c r="AK63" s="3525">
        <v>2300</v>
      </c>
      <c r="AL63" s="3526">
        <v>2300</v>
      </c>
      <c r="AM63" s="3525" t="s">
        <v>3056</v>
      </c>
      <c r="AN63" s="3525" t="s">
        <v>3056</v>
      </c>
      <c r="AO63" s="3526">
        <v>0</v>
      </c>
      <c r="AP63" s="3526" t="s">
        <v>3059</v>
      </c>
      <c r="AQ63" s="3526">
        <v>0</v>
      </c>
      <c r="AR63" s="3526">
        <v>0</v>
      </c>
    </row>
    <row r="64" spans="1:46" s="3216" customFormat="1" ht="14.25">
      <c r="A64" s="3529" t="s">
        <v>3183</v>
      </c>
      <c r="B64" s="3529">
        <v>2020003001</v>
      </c>
      <c r="C64" s="3525" t="s">
        <v>3048</v>
      </c>
      <c r="D64" s="3525" t="s">
        <v>3049</v>
      </c>
      <c r="E64" s="3529" t="s">
        <v>3369</v>
      </c>
      <c r="F64" s="3525" t="s">
        <v>3184</v>
      </c>
      <c r="G64" s="3525" t="s">
        <v>3051</v>
      </c>
      <c r="H64" s="3529">
        <v>70000</v>
      </c>
      <c r="I64" s="3529">
        <v>154000</v>
      </c>
      <c r="J64" s="3529" t="s">
        <v>3388</v>
      </c>
      <c r="K64" s="3525" t="s">
        <v>3358</v>
      </c>
      <c r="L64" s="3529" t="s">
        <v>3404</v>
      </c>
      <c r="M64" s="3525" t="s">
        <v>3052</v>
      </c>
      <c r="N64" s="3525" t="s">
        <v>3053</v>
      </c>
      <c r="O64" s="3525" t="s">
        <v>3056</v>
      </c>
      <c r="P64" s="3525" t="s">
        <v>3056</v>
      </c>
      <c r="Q64" s="3525" t="s">
        <v>3056</v>
      </c>
      <c r="R64" s="3525" t="s">
        <v>3056</v>
      </c>
      <c r="S64" s="3525" t="s">
        <v>3056</v>
      </c>
      <c r="T64" s="3525" t="s">
        <v>3056</v>
      </c>
      <c r="U64" s="3525" t="s">
        <v>3056</v>
      </c>
      <c r="V64" s="3525" t="s">
        <v>3056</v>
      </c>
      <c r="W64" s="3525" t="s">
        <v>3056</v>
      </c>
      <c r="X64" s="3527">
        <v>43851.000497685185</v>
      </c>
      <c r="Y64" s="3527">
        <v>43871.000497685185</v>
      </c>
      <c r="Z64" s="3527">
        <v>43887.000497685185</v>
      </c>
      <c r="AA64" s="3530">
        <v>43887.000497685185</v>
      </c>
      <c r="AB64" s="3525" t="s">
        <v>3168</v>
      </c>
      <c r="AC64" s="3525" t="s">
        <v>3058</v>
      </c>
      <c r="AD64" s="3529" t="s">
        <v>3427</v>
      </c>
      <c r="AE64" s="3529" t="s">
        <v>3428</v>
      </c>
      <c r="AF64" s="3525">
        <v>52500</v>
      </c>
      <c r="AG64" s="3525">
        <v>15000</v>
      </c>
      <c r="AH64" s="3525">
        <v>82950</v>
      </c>
      <c r="AI64" s="3525">
        <v>500</v>
      </c>
      <c r="AJ64" s="3529">
        <v>790</v>
      </c>
      <c r="AK64" s="3525">
        <v>3409</v>
      </c>
      <c r="AL64" s="3529">
        <v>5386</v>
      </c>
      <c r="AM64" s="3525" t="s">
        <v>3056</v>
      </c>
      <c r="AN64" s="3525" t="s">
        <v>3056</v>
      </c>
      <c r="AO64" s="3529">
        <v>58</v>
      </c>
      <c r="AP64" s="3529" t="s">
        <v>3059</v>
      </c>
      <c r="AQ64" s="3529">
        <v>0</v>
      </c>
      <c r="AR64" s="3529">
        <v>0</v>
      </c>
    </row>
    <row r="65" spans="1:45" s="3216" customFormat="1" ht="14.25">
      <c r="A65" s="3529" t="s">
        <v>3185</v>
      </c>
      <c r="B65" s="3529">
        <v>2020003002</v>
      </c>
      <c r="C65" s="3525" t="s">
        <v>3048</v>
      </c>
      <c r="D65" s="3525" t="s">
        <v>3049</v>
      </c>
      <c r="E65" s="3529" t="s">
        <v>3369</v>
      </c>
      <c r="F65" s="3525" t="s">
        <v>3186</v>
      </c>
      <c r="G65" s="3525" t="s">
        <v>3051</v>
      </c>
      <c r="H65" s="3529">
        <v>27666</v>
      </c>
      <c r="I65" s="3529">
        <v>58098.6</v>
      </c>
      <c r="J65" s="3529" t="s">
        <v>3429</v>
      </c>
      <c r="K65" s="3525" t="s">
        <v>3358</v>
      </c>
      <c r="L65" s="3529" t="s">
        <v>3404</v>
      </c>
      <c r="M65" s="3525" t="s">
        <v>3052</v>
      </c>
      <c r="N65" s="3525" t="s">
        <v>3053</v>
      </c>
      <c r="O65" s="3525" t="s">
        <v>3056</v>
      </c>
      <c r="P65" s="3525" t="s">
        <v>3056</v>
      </c>
      <c r="Q65" s="3525" t="s">
        <v>3056</v>
      </c>
      <c r="R65" s="3525" t="s">
        <v>3056</v>
      </c>
      <c r="S65" s="3525" t="s">
        <v>3056</v>
      </c>
      <c r="T65" s="3525" t="s">
        <v>3056</v>
      </c>
      <c r="U65" s="3525" t="s">
        <v>3056</v>
      </c>
      <c r="V65" s="3525" t="s">
        <v>3056</v>
      </c>
      <c r="W65" s="3525" t="s">
        <v>3056</v>
      </c>
      <c r="X65" s="3527">
        <v>43851.000497685185</v>
      </c>
      <c r="Y65" s="3527">
        <v>43871.000497685185</v>
      </c>
      <c r="Z65" s="3527">
        <v>43887.000497685185</v>
      </c>
      <c r="AA65" s="3530">
        <v>43887.000497685185</v>
      </c>
      <c r="AB65" s="3525" t="s">
        <v>3168</v>
      </c>
      <c r="AC65" s="3525" t="s">
        <v>3058</v>
      </c>
      <c r="AD65" s="3529" t="s">
        <v>3430</v>
      </c>
      <c r="AE65" s="3529" t="s">
        <v>3431</v>
      </c>
      <c r="AF65" s="3525">
        <v>19919.52</v>
      </c>
      <c r="AG65" s="3525">
        <v>6000</v>
      </c>
      <c r="AH65" s="3525">
        <v>32009.56</v>
      </c>
      <c r="AI65" s="3525">
        <v>480</v>
      </c>
      <c r="AJ65" s="3529">
        <v>771.33</v>
      </c>
      <c r="AK65" s="3525">
        <v>3429</v>
      </c>
      <c r="AL65" s="3529">
        <v>5510</v>
      </c>
      <c r="AM65" s="3525" t="s">
        <v>3056</v>
      </c>
      <c r="AN65" s="3525" t="s">
        <v>3056</v>
      </c>
      <c r="AO65" s="3529">
        <v>60.69</v>
      </c>
      <c r="AP65" s="3529" t="s">
        <v>3059</v>
      </c>
      <c r="AQ65" s="3529">
        <v>0</v>
      </c>
      <c r="AR65" s="3529">
        <v>0</v>
      </c>
    </row>
    <row r="66" spans="1:45" s="3303" customFormat="1" ht="14.25">
      <c r="A66" s="3541" t="s">
        <v>3187</v>
      </c>
      <c r="B66" s="3541">
        <v>2020002004</v>
      </c>
      <c r="C66" s="3525" t="s">
        <v>3048</v>
      </c>
      <c r="D66" s="3525" t="s">
        <v>3049</v>
      </c>
      <c r="E66" s="3541" t="s">
        <v>3382</v>
      </c>
      <c r="F66" s="3525" t="s">
        <v>3188</v>
      </c>
      <c r="G66" s="3525" t="s">
        <v>3051</v>
      </c>
      <c r="H66" s="3541">
        <v>17930</v>
      </c>
      <c r="I66" s="3541">
        <v>53790</v>
      </c>
      <c r="J66" s="3541" t="s">
        <v>3366</v>
      </c>
      <c r="K66" s="3525" t="s">
        <v>3358</v>
      </c>
      <c r="L66" s="3541" t="s">
        <v>3404</v>
      </c>
      <c r="M66" s="3525" t="s">
        <v>3052</v>
      </c>
      <c r="N66" s="3525" t="s">
        <v>3053</v>
      </c>
      <c r="O66" s="3525" t="s">
        <v>3056</v>
      </c>
      <c r="P66" s="3525" t="s">
        <v>3056</v>
      </c>
      <c r="Q66" s="3525" t="s">
        <v>3056</v>
      </c>
      <c r="R66" s="3525" t="s">
        <v>3056</v>
      </c>
      <c r="S66" s="3525" t="s">
        <v>3056</v>
      </c>
      <c r="T66" s="3525" t="s">
        <v>3056</v>
      </c>
      <c r="U66" s="3525" t="s">
        <v>3056</v>
      </c>
      <c r="V66" s="3525" t="s">
        <v>3056</v>
      </c>
      <c r="W66" s="3525" t="s">
        <v>3056</v>
      </c>
      <c r="X66" s="3527">
        <v>43851.000497685185</v>
      </c>
      <c r="Y66" s="3527">
        <v>43872.000497685185</v>
      </c>
      <c r="Z66" s="3527">
        <v>43886.000497685185</v>
      </c>
      <c r="AA66" s="3542">
        <v>43886.000497685185</v>
      </c>
      <c r="AB66" s="3525" t="s">
        <v>3168</v>
      </c>
      <c r="AC66" s="3525" t="s">
        <v>3058</v>
      </c>
      <c r="AD66" s="3541" t="s">
        <v>3426</v>
      </c>
      <c r="AE66" s="3541" t="s">
        <v>3426</v>
      </c>
      <c r="AF66" s="3525">
        <v>15853.7</v>
      </c>
      <c r="AG66" s="3525">
        <v>4000</v>
      </c>
      <c r="AH66" s="3525">
        <v>15853.7</v>
      </c>
      <c r="AI66" s="3525">
        <v>589.47</v>
      </c>
      <c r="AJ66" s="3541">
        <v>589.47</v>
      </c>
      <c r="AK66" s="3525">
        <v>2947</v>
      </c>
      <c r="AL66" s="3541">
        <v>2947</v>
      </c>
      <c r="AM66" s="3525" t="s">
        <v>3056</v>
      </c>
      <c r="AN66" s="3525" t="s">
        <v>3056</v>
      </c>
      <c r="AO66" s="3541">
        <v>0</v>
      </c>
      <c r="AP66" s="3541" t="s">
        <v>3059</v>
      </c>
      <c r="AQ66" s="3541">
        <v>0</v>
      </c>
      <c r="AR66" s="3541">
        <v>0</v>
      </c>
      <c r="AS66" s="3303" t="s">
        <v>3489</v>
      </c>
    </row>
    <row r="67" spans="1:45" s="3302" customFormat="1" ht="14.25">
      <c r="A67" s="3539" t="s">
        <v>3174</v>
      </c>
      <c r="B67" s="3539">
        <v>2020002003</v>
      </c>
      <c r="C67" s="3525" t="s">
        <v>3048</v>
      </c>
      <c r="D67" s="3525" t="s">
        <v>3049</v>
      </c>
      <c r="E67" s="3539" t="s">
        <v>3382</v>
      </c>
      <c r="F67" s="3525" t="s">
        <v>3175</v>
      </c>
      <c r="G67" s="3525" t="s">
        <v>3051</v>
      </c>
      <c r="H67" s="3539">
        <v>16666</v>
      </c>
      <c r="I67" s="3539">
        <v>49998</v>
      </c>
      <c r="J67" s="3539" t="s">
        <v>3366</v>
      </c>
      <c r="K67" s="3525" t="s">
        <v>3358</v>
      </c>
      <c r="L67" s="3539" t="s">
        <v>3404</v>
      </c>
      <c r="M67" s="3525" t="s">
        <v>3052</v>
      </c>
      <c r="N67" s="3525" t="s">
        <v>3053</v>
      </c>
      <c r="O67" s="3525" t="s">
        <v>3056</v>
      </c>
      <c r="P67" s="3525" t="s">
        <v>3056</v>
      </c>
      <c r="Q67" s="3525" t="s">
        <v>3056</v>
      </c>
      <c r="R67" s="3525" t="s">
        <v>3056</v>
      </c>
      <c r="S67" s="3525" t="s">
        <v>3056</v>
      </c>
      <c r="T67" s="3525" t="s">
        <v>3056</v>
      </c>
      <c r="U67" s="3525" t="s">
        <v>3056</v>
      </c>
      <c r="V67" s="3525" t="s">
        <v>3056</v>
      </c>
      <c r="W67" s="3525" t="s">
        <v>3056</v>
      </c>
      <c r="X67" s="3527">
        <v>43851.000497685185</v>
      </c>
      <c r="Y67" s="3527">
        <v>43872.000497685185</v>
      </c>
      <c r="Z67" s="3527">
        <v>43885.000497685185</v>
      </c>
      <c r="AA67" s="3540">
        <v>43885.000497685185</v>
      </c>
      <c r="AB67" s="3525" t="s">
        <v>3168</v>
      </c>
      <c r="AC67" s="3525" t="s">
        <v>3058</v>
      </c>
      <c r="AD67" s="3539" t="s">
        <v>3426</v>
      </c>
      <c r="AE67" s="3539" t="s">
        <v>3426</v>
      </c>
      <c r="AF67" s="3525">
        <v>14452.76</v>
      </c>
      <c r="AG67" s="3525">
        <v>4000</v>
      </c>
      <c r="AH67" s="3525">
        <v>14452.76</v>
      </c>
      <c r="AI67" s="3525">
        <v>578.13</v>
      </c>
      <c r="AJ67" s="3539">
        <v>578.13</v>
      </c>
      <c r="AK67" s="3525">
        <v>2891</v>
      </c>
      <c r="AL67" s="3539">
        <v>2891</v>
      </c>
      <c r="AM67" s="3525" t="s">
        <v>3056</v>
      </c>
      <c r="AN67" s="3525" t="s">
        <v>3056</v>
      </c>
      <c r="AO67" s="3539">
        <v>0</v>
      </c>
      <c r="AP67" s="3539" t="s">
        <v>3059</v>
      </c>
      <c r="AQ67" s="3539">
        <v>0</v>
      </c>
      <c r="AR67" s="3539">
        <v>0</v>
      </c>
    </row>
    <row r="68" spans="1:45" s="3302" customFormat="1" ht="14.25">
      <c r="A68" s="3539" t="s">
        <v>3189</v>
      </c>
      <c r="B68" s="3539">
        <v>2020002002</v>
      </c>
      <c r="C68" s="3525" t="s">
        <v>3048</v>
      </c>
      <c r="D68" s="3525" t="s">
        <v>3049</v>
      </c>
      <c r="E68" s="3539" t="s">
        <v>3382</v>
      </c>
      <c r="F68" s="3525" t="s">
        <v>3190</v>
      </c>
      <c r="G68" s="3525" t="s">
        <v>3051</v>
      </c>
      <c r="H68" s="3539">
        <v>16666</v>
      </c>
      <c r="I68" s="3539">
        <v>49998</v>
      </c>
      <c r="J68" s="3539" t="s">
        <v>3366</v>
      </c>
      <c r="K68" s="3525" t="s">
        <v>3358</v>
      </c>
      <c r="L68" s="3539" t="s">
        <v>3404</v>
      </c>
      <c r="M68" s="3525" t="s">
        <v>3052</v>
      </c>
      <c r="N68" s="3525" t="s">
        <v>3053</v>
      </c>
      <c r="O68" s="3525" t="s">
        <v>3056</v>
      </c>
      <c r="P68" s="3525" t="s">
        <v>3056</v>
      </c>
      <c r="Q68" s="3525" t="s">
        <v>3056</v>
      </c>
      <c r="R68" s="3525" t="s">
        <v>3056</v>
      </c>
      <c r="S68" s="3525" t="s">
        <v>3056</v>
      </c>
      <c r="T68" s="3525" t="s">
        <v>3056</v>
      </c>
      <c r="U68" s="3525" t="s">
        <v>3056</v>
      </c>
      <c r="V68" s="3525" t="s">
        <v>3056</v>
      </c>
      <c r="W68" s="3525" t="s">
        <v>3056</v>
      </c>
      <c r="X68" s="3527">
        <v>43851.000497685185</v>
      </c>
      <c r="Y68" s="3527">
        <v>43872.000497685185</v>
      </c>
      <c r="Z68" s="3527">
        <v>43882.000497685185</v>
      </c>
      <c r="AA68" s="3540">
        <v>43882.000497685185</v>
      </c>
      <c r="AB68" s="3525" t="s">
        <v>3168</v>
      </c>
      <c r="AC68" s="3525" t="s">
        <v>3058</v>
      </c>
      <c r="AD68" s="3539" t="s">
        <v>3426</v>
      </c>
      <c r="AE68" s="3539" t="s">
        <v>3426</v>
      </c>
      <c r="AF68" s="3525">
        <v>14457.76</v>
      </c>
      <c r="AG68" s="3525">
        <v>4000</v>
      </c>
      <c r="AH68" s="3525">
        <v>14457.76</v>
      </c>
      <c r="AI68" s="3525">
        <v>578.33000000000004</v>
      </c>
      <c r="AJ68" s="3539">
        <v>578.33000000000004</v>
      </c>
      <c r="AK68" s="3525">
        <v>2892</v>
      </c>
      <c r="AL68" s="3539">
        <v>2892</v>
      </c>
      <c r="AM68" s="3525" t="s">
        <v>3056</v>
      </c>
      <c r="AN68" s="3525" t="s">
        <v>3056</v>
      </c>
      <c r="AO68" s="3539">
        <v>0</v>
      </c>
      <c r="AP68" s="3539" t="s">
        <v>3059</v>
      </c>
      <c r="AQ68" s="3539">
        <v>0</v>
      </c>
      <c r="AR68" s="3539">
        <v>0</v>
      </c>
    </row>
    <row r="69" spans="1:45" s="3302" customFormat="1" ht="14.25">
      <c r="A69" s="3539" t="s">
        <v>3191</v>
      </c>
      <c r="B69" s="3539">
        <v>2020002001</v>
      </c>
      <c r="C69" s="3525" t="s">
        <v>3048</v>
      </c>
      <c r="D69" s="3525" t="s">
        <v>3049</v>
      </c>
      <c r="E69" s="3539" t="s">
        <v>3382</v>
      </c>
      <c r="F69" s="3525" t="s">
        <v>3192</v>
      </c>
      <c r="G69" s="3525" t="s">
        <v>3051</v>
      </c>
      <c r="H69" s="3539">
        <v>34248</v>
      </c>
      <c r="I69" s="3539">
        <v>102744</v>
      </c>
      <c r="J69" s="3539" t="s">
        <v>3366</v>
      </c>
      <c r="K69" s="3525" t="s">
        <v>3358</v>
      </c>
      <c r="L69" s="3539" t="s">
        <v>3404</v>
      </c>
      <c r="M69" s="3525" t="s">
        <v>3052</v>
      </c>
      <c r="N69" s="3525" t="s">
        <v>3053</v>
      </c>
      <c r="O69" s="3525" t="s">
        <v>3056</v>
      </c>
      <c r="P69" s="3525" t="s">
        <v>3056</v>
      </c>
      <c r="Q69" s="3525" t="s">
        <v>3056</v>
      </c>
      <c r="R69" s="3525" t="s">
        <v>3056</v>
      </c>
      <c r="S69" s="3525" t="s">
        <v>3056</v>
      </c>
      <c r="T69" s="3525" t="s">
        <v>3056</v>
      </c>
      <c r="U69" s="3525" t="s">
        <v>3056</v>
      </c>
      <c r="V69" s="3525" t="s">
        <v>3056</v>
      </c>
      <c r="W69" s="3525" t="s">
        <v>3056</v>
      </c>
      <c r="X69" s="3527">
        <v>43851.000497685185</v>
      </c>
      <c r="Y69" s="3527">
        <v>43872.000497685185</v>
      </c>
      <c r="Z69" s="3527">
        <v>43881.000497685185</v>
      </c>
      <c r="AA69" s="3540">
        <v>43881.000497685185</v>
      </c>
      <c r="AB69" s="3525" t="s">
        <v>3168</v>
      </c>
      <c r="AC69" s="3525" t="s">
        <v>3058</v>
      </c>
      <c r="AD69" s="3539" t="s">
        <v>3426</v>
      </c>
      <c r="AE69" s="3539" t="s">
        <v>3432</v>
      </c>
      <c r="AF69" s="3525">
        <v>29275.18</v>
      </c>
      <c r="AG69" s="3525">
        <v>8000</v>
      </c>
      <c r="AH69" s="3525">
        <v>29275.18</v>
      </c>
      <c r="AI69" s="3525">
        <v>569.87</v>
      </c>
      <c r="AJ69" s="3539">
        <v>569.87</v>
      </c>
      <c r="AK69" s="3525">
        <v>2849</v>
      </c>
      <c r="AL69" s="3539">
        <v>2849</v>
      </c>
      <c r="AM69" s="3525" t="s">
        <v>3056</v>
      </c>
      <c r="AN69" s="3525" t="s">
        <v>3056</v>
      </c>
      <c r="AO69" s="3539">
        <v>0</v>
      </c>
      <c r="AP69" s="3539" t="s">
        <v>3059</v>
      </c>
      <c r="AQ69" s="3539">
        <v>0</v>
      </c>
      <c r="AR69" s="3539">
        <v>0</v>
      </c>
    </row>
    <row r="70" spans="1:45" ht="14.25">
      <c r="A70" s="3525" t="s">
        <v>3193</v>
      </c>
      <c r="B70" s="3525">
        <v>2020004001</v>
      </c>
      <c r="C70" s="3525" t="s">
        <v>3048</v>
      </c>
      <c r="D70" s="3525" t="s">
        <v>3049</v>
      </c>
      <c r="E70" s="3525" t="s">
        <v>3382</v>
      </c>
      <c r="F70" s="3525" t="s">
        <v>3194</v>
      </c>
      <c r="G70" s="3525" t="s">
        <v>3051</v>
      </c>
      <c r="H70" s="3525">
        <v>2964</v>
      </c>
      <c r="I70" s="3525">
        <v>9484.7999999999993</v>
      </c>
      <c r="J70" s="3525" t="s">
        <v>3400</v>
      </c>
      <c r="K70" s="3525" t="s">
        <v>3358</v>
      </c>
      <c r="L70" s="3525" t="s">
        <v>3404</v>
      </c>
      <c r="M70" s="3525" t="s">
        <v>3052</v>
      </c>
      <c r="N70" s="3525" t="s">
        <v>3053</v>
      </c>
      <c r="O70" s="3525" t="s">
        <v>3167</v>
      </c>
      <c r="P70" s="3525" t="s">
        <v>3056</v>
      </c>
      <c r="Q70" s="3525" t="s">
        <v>3056</v>
      </c>
      <c r="R70" s="3525" t="s">
        <v>3056</v>
      </c>
      <c r="S70" s="3525" t="s">
        <v>3056</v>
      </c>
      <c r="T70" s="3525" t="s">
        <v>3056</v>
      </c>
      <c r="U70" s="3525" t="s">
        <v>3056</v>
      </c>
      <c r="V70" s="3525" t="s">
        <v>3056</v>
      </c>
      <c r="W70" s="3525" t="s">
        <v>3056</v>
      </c>
      <c r="X70" s="3527">
        <v>43851.000497685185</v>
      </c>
      <c r="Y70" s="3527">
        <v>43871.000497685185</v>
      </c>
      <c r="Z70" s="3527">
        <v>43881.000497685185</v>
      </c>
      <c r="AA70" s="3527">
        <v>43881.000497685185</v>
      </c>
      <c r="AB70" s="3525" t="s">
        <v>3168</v>
      </c>
      <c r="AC70" s="3525" t="s">
        <v>3058</v>
      </c>
      <c r="AD70" s="3525" t="s">
        <v>3433</v>
      </c>
      <c r="AE70" s="3525" t="s">
        <v>2776</v>
      </c>
      <c r="AF70" s="3525">
        <v>3032.17</v>
      </c>
      <c r="AG70" s="3525">
        <v>800</v>
      </c>
      <c r="AH70" s="3525">
        <v>3032.17</v>
      </c>
      <c r="AI70" s="3525">
        <v>682</v>
      </c>
      <c r="AJ70" s="3525">
        <v>682</v>
      </c>
      <c r="AK70" s="3525">
        <v>3197</v>
      </c>
      <c r="AL70" s="3525">
        <v>3197</v>
      </c>
      <c r="AM70" s="3525" t="s">
        <v>3056</v>
      </c>
      <c r="AN70" s="3525" t="s">
        <v>3056</v>
      </c>
      <c r="AO70" s="3525">
        <v>0</v>
      </c>
      <c r="AP70" s="3525" t="s">
        <v>3059</v>
      </c>
      <c r="AQ70" s="3525">
        <v>0</v>
      </c>
      <c r="AR70" s="3525">
        <v>0</v>
      </c>
    </row>
    <row r="71" spans="1:45" s="3292" customFormat="1" ht="14.25" hidden="1" customHeight="1">
      <c r="A71" s="3526" t="s">
        <v>3195</v>
      </c>
      <c r="B71" s="3526">
        <v>2019061001</v>
      </c>
      <c r="C71" s="3525" t="s">
        <v>3048</v>
      </c>
      <c r="D71" s="3525" t="s">
        <v>3049</v>
      </c>
      <c r="E71" s="3526" t="s">
        <v>3414</v>
      </c>
      <c r="F71" s="3525" t="s">
        <v>3196</v>
      </c>
      <c r="G71" s="3525" t="s">
        <v>3051</v>
      </c>
      <c r="H71" s="3526">
        <v>11086</v>
      </c>
      <c r="I71" s="3526">
        <v>18846.2</v>
      </c>
      <c r="J71" s="3526" t="s">
        <v>3434</v>
      </c>
      <c r="K71" s="3525" t="s">
        <v>3358</v>
      </c>
      <c r="L71" s="3526" t="s">
        <v>3404</v>
      </c>
      <c r="M71" s="3525" t="s">
        <v>3052</v>
      </c>
      <c r="N71" s="3525" t="s">
        <v>3053</v>
      </c>
      <c r="O71" s="3525" t="s">
        <v>3064</v>
      </c>
      <c r="P71" s="3525" t="s">
        <v>3056</v>
      </c>
      <c r="Q71" s="3525" t="s">
        <v>3056</v>
      </c>
      <c r="R71" s="3525" t="s">
        <v>3056</v>
      </c>
      <c r="S71" s="3525" t="s">
        <v>3056</v>
      </c>
      <c r="T71" s="3525" t="s">
        <v>3056</v>
      </c>
      <c r="U71" s="3525" t="s">
        <v>3056</v>
      </c>
      <c r="V71" s="3525" t="s">
        <v>3056</v>
      </c>
      <c r="W71" s="3525" t="s">
        <v>3056</v>
      </c>
      <c r="X71" s="3527">
        <v>43826.000497685185</v>
      </c>
      <c r="Y71" s="3527">
        <v>43846.000497685185</v>
      </c>
      <c r="Z71" s="3527">
        <v>43871.000497685185</v>
      </c>
      <c r="AA71" s="3528">
        <v>43871.000497685185</v>
      </c>
      <c r="AB71" s="3525" t="s">
        <v>3168</v>
      </c>
      <c r="AC71" s="3525" t="s">
        <v>3058</v>
      </c>
      <c r="AD71" s="3526" t="s">
        <v>3435</v>
      </c>
      <c r="AE71" s="3526" t="s">
        <v>2776</v>
      </c>
      <c r="AF71" s="3525">
        <v>832.55</v>
      </c>
      <c r="AG71" s="3525">
        <v>200</v>
      </c>
      <c r="AH71" s="3525">
        <v>832.55</v>
      </c>
      <c r="AI71" s="3525">
        <v>50.07</v>
      </c>
      <c r="AJ71" s="3526">
        <v>50.07</v>
      </c>
      <c r="AK71" s="3525">
        <v>442</v>
      </c>
      <c r="AL71" s="3526">
        <v>442</v>
      </c>
      <c r="AM71" s="3525" t="s">
        <v>3056</v>
      </c>
      <c r="AN71" s="3525" t="s">
        <v>3056</v>
      </c>
      <c r="AO71" s="3526">
        <v>0</v>
      </c>
      <c r="AP71" s="3526" t="s">
        <v>3059</v>
      </c>
      <c r="AQ71" s="3526">
        <v>0</v>
      </c>
      <c r="AR71" s="3526">
        <v>0</v>
      </c>
    </row>
    <row r="72" spans="1:45" s="3292" customFormat="1" ht="14.25" hidden="1" customHeight="1">
      <c r="A72" s="3526" t="s">
        <v>3197</v>
      </c>
      <c r="B72" s="3526">
        <v>2019060002</v>
      </c>
      <c r="C72" s="3525" t="s">
        <v>3048</v>
      </c>
      <c r="D72" s="3525" t="s">
        <v>3049</v>
      </c>
      <c r="E72" s="3526" t="s">
        <v>3414</v>
      </c>
      <c r="F72" s="3525" t="s">
        <v>3198</v>
      </c>
      <c r="G72" s="3525" t="s">
        <v>3051</v>
      </c>
      <c r="H72" s="3526">
        <v>7259</v>
      </c>
      <c r="I72" s="3526">
        <v>20325.2</v>
      </c>
      <c r="J72" s="3526" t="s">
        <v>3424</v>
      </c>
      <c r="K72" s="3525" t="s">
        <v>3358</v>
      </c>
      <c r="L72" s="3526" t="s">
        <v>3404</v>
      </c>
      <c r="M72" s="3525" t="s">
        <v>3052</v>
      </c>
      <c r="N72" s="3525" t="s">
        <v>3053</v>
      </c>
      <c r="O72" s="3525" t="s">
        <v>3064</v>
      </c>
      <c r="P72" s="3525" t="s">
        <v>3056</v>
      </c>
      <c r="Q72" s="3525" t="s">
        <v>3056</v>
      </c>
      <c r="R72" s="3525" t="s">
        <v>3056</v>
      </c>
      <c r="S72" s="3525" t="s">
        <v>3056</v>
      </c>
      <c r="T72" s="3525" t="s">
        <v>3056</v>
      </c>
      <c r="U72" s="3525" t="s">
        <v>3056</v>
      </c>
      <c r="V72" s="3525" t="s">
        <v>3056</v>
      </c>
      <c r="W72" s="3525" t="s">
        <v>3056</v>
      </c>
      <c r="X72" s="3527">
        <v>43816.000497685185</v>
      </c>
      <c r="Y72" s="3527">
        <v>43837.000497685185</v>
      </c>
      <c r="Z72" s="3527">
        <v>43846.000497685185</v>
      </c>
      <c r="AA72" s="3528">
        <v>43846.000497685185</v>
      </c>
      <c r="AB72" s="3525" t="s">
        <v>3168</v>
      </c>
      <c r="AC72" s="3525" t="s">
        <v>3058</v>
      </c>
      <c r="AD72" s="3526" t="s">
        <v>3425</v>
      </c>
      <c r="AE72" s="3526" t="s">
        <v>2776</v>
      </c>
      <c r="AF72" s="3525">
        <v>5226.47</v>
      </c>
      <c r="AG72" s="3525">
        <v>1200</v>
      </c>
      <c r="AH72" s="3525">
        <v>5226.47</v>
      </c>
      <c r="AI72" s="3525">
        <v>480</v>
      </c>
      <c r="AJ72" s="3526">
        <v>480</v>
      </c>
      <c r="AK72" s="3525">
        <v>2571</v>
      </c>
      <c r="AL72" s="3526">
        <v>2571</v>
      </c>
      <c r="AM72" s="3525" t="s">
        <v>3056</v>
      </c>
      <c r="AN72" s="3525" t="s">
        <v>3056</v>
      </c>
      <c r="AO72" s="3526">
        <v>0</v>
      </c>
      <c r="AP72" s="3526" t="s">
        <v>3059</v>
      </c>
      <c r="AQ72" s="3526">
        <v>0</v>
      </c>
      <c r="AR72" s="3526">
        <v>0</v>
      </c>
    </row>
    <row r="73" spans="1:45" s="3292" customFormat="1" ht="14.25" hidden="1" customHeight="1">
      <c r="A73" s="3526" t="s">
        <v>3199</v>
      </c>
      <c r="B73" s="3526">
        <v>2019059001</v>
      </c>
      <c r="C73" s="3525" t="s">
        <v>3048</v>
      </c>
      <c r="D73" s="3525" t="s">
        <v>3049</v>
      </c>
      <c r="E73" s="3526" t="s">
        <v>3361</v>
      </c>
      <c r="F73" s="3525" t="s">
        <v>3200</v>
      </c>
      <c r="G73" s="3525" t="s">
        <v>3051</v>
      </c>
      <c r="H73" s="3526">
        <v>16900</v>
      </c>
      <c r="I73" s="3526">
        <v>25350</v>
      </c>
      <c r="J73" s="3526" t="s">
        <v>3379</v>
      </c>
      <c r="K73" s="3525" t="s">
        <v>3358</v>
      </c>
      <c r="L73" s="3526" t="s">
        <v>3404</v>
      </c>
      <c r="M73" s="3525" t="s">
        <v>3052</v>
      </c>
      <c r="N73" s="3525" t="s">
        <v>3053</v>
      </c>
      <c r="O73" s="3525" t="s">
        <v>3148</v>
      </c>
      <c r="P73" s="3525" t="s">
        <v>3056</v>
      </c>
      <c r="Q73" s="3525" t="s">
        <v>3056</v>
      </c>
      <c r="R73" s="3525" t="s">
        <v>3056</v>
      </c>
      <c r="S73" s="3525" t="s">
        <v>3056</v>
      </c>
      <c r="T73" s="3525" t="s">
        <v>3056</v>
      </c>
      <c r="U73" s="3525" t="s">
        <v>3056</v>
      </c>
      <c r="V73" s="3525" t="s">
        <v>3056</v>
      </c>
      <c r="W73" s="3525" t="s">
        <v>3056</v>
      </c>
      <c r="X73" s="3527">
        <v>43816.000497685185</v>
      </c>
      <c r="Y73" s="3527">
        <v>43837.000497685185</v>
      </c>
      <c r="Z73" s="3527">
        <v>43846.000497685185</v>
      </c>
      <c r="AA73" s="3528">
        <v>43846.000497685185</v>
      </c>
      <c r="AB73" s="3525" t="s">
        <v>3168</v>
      </c>
      <c r="AC73" s="3525" t="s">
        <v>3058</v>
      </c>
      <c r="AD73" s="3526" t="s">
        <v>3436</v>
      </c>
      <c r="AE73" s="3526" t="s">
        <v>2776</v>
      </c>
      <c r="AF73" s="3525">
        <v>2535</v>
      </c>
      <c r="AG73" s="3525">
        <v>800</v>
      </c>
      <c r="AH73" s="3525">
        <v>2535</v>
      </c>
      <c r="AI73" s="3525">
        <v>100</v>
      </c>
      <c r="AJ73" s="3526">
        <v>100</v>
      </c>
      <c r="AK73" s="3525">
        <v>1000</v>
      </c>
      <c r="AL73" s="3526">
        <v>1000</v>
      </c>
      <c r="AM73" s="3525" t="s">
        <v>3056</v>
      </c>
      <c r="AN73" s="3525" t="s">
        <v>3056</v>
      </c>
      <c r="AO73" s="3526">
        <v>0</v>
      </c>
      <c r="AP73" s="3526" t="s">
        <v>3059</v>
      </c>
      <c r="AQ73" s="3526">
        <v>0</v>
      </c>
      <c r="AR73" s="3526">
        <v>0</v>
      </c>
    </row>
    <row r="74" spans="1:45" s="3292" customFormat="1" ht="14.25" hidden="1" customHeight="1">
      <c r="A74" s="3526" t="s">
        <v>3201</v>
      </c>
      <c r="B74" s="3526">
        <v>2019058001</v>
      </c>
      <c r="C74" s="3525" t="s">
        <v>3048</v>
      </c>
      <c r="D74" s="3525" t="s">
        <v>3049</v>
      </c>
      <c r="E74" s="3526" t="s">
        <v>3414</v>
      </c>
      <c r="F74" s="3525" t="s">
        <v>3202</v>
      </c>
      <c r="G74" s="3525" t="s">
        <v>3051</v>
      </c>
      <c r="H74" s="3526">
        <v>13419.5</v>
      </c>
      <c r="I74" s="3526">
        <v>42942.400000000001</v>
      </c>
      <c r="J74" s="3526" t="s">
        <v>3400</v>
      </c>
      <c r="K74" s="3525" t="s">
        <v>3358</v>
      </c>
      <c r="L74" s="3526" t="s">
        <v>3404</v>
      </c>
      <c r="M74" s="3525" t="s">
        <v>3052</v>
      </c>
      <c r="N74" s="3525" t="s">
        <v>3053</v>
      </c>
      <c r="O74" s="3525" t="s">
        <v>3064</v>
      </c>
      <c r="P74" s="3525" t="s">
        <v>3056</v>
      </c>
      <c r="Q74" s="3525" t="s">
        <v>3056</v>
      </c>
      <c r="R74" s="3525" t="s">
        <v>3056</v>
      </c>
      <c r="S74" s="3525" t="s">
        <v>3056</v>
      </c>
      <c r="T74" s="3525" t="s">
        <v>3056</v>
      </c>
      <c r="U74" s="3525" t="s">
        <v>3056</v>
      </c>
      <c r="V74" s="3525" t="s">
        <v>3056</v>
      </c>
      <c r="W74" s="3525" t="s">
        <v>3056</v>
      </c>
      <c r="X74" s="3527">
        <v>43810.000497685185</v>
      </c>
      <c r="Y74" s="3527">
        <v>43832.000497685185</v>
      </c>
      <c r="Z74" s="3527">
        <v>43841.000497685185</v>
      </c>
      <c r="AA74" s="3528">
        <v>43841.000497685185</v>
      </c>
      <c r="AB74" s="3525" t="s">
        <v>3168</v>
      </c>
      <c r="AC74" s="3525" t="s">
        <v>3058</v>
      </c>
      <c r="AD74" s="3526" t="s">
        <v>3415</v>
      </c>
      <c r="AE74" s="3526" t="s">
        <v>2776</v>
      </c>
      <c r="AF74" s="3525">
        <v>9259.4500000000007</v>
      </c>
      <c r="AG74" s="3525">
        <v>1900</v>
      </c>
      <c r="AH74" s="3525">
        <v>9259.4500000000007</v>
      </c>
      <c r="AI74" s="3525">
        <v>460</v>
      </c>
      <c r="AJ74" s="3526">
        <v>460</v>
      </c>
      <c r="AK74" s="3525">
        <v>2156</v>
      </c>
      <c r="AL74" s="3526">
        <v>2156</v>
      </c>
      <c r="AM74" s="3525" t="s">
        <v>3056</v>
      </c>
      <c r="AN74" s="3525" t="s">
        <v>3056</v>
      </c>
      <c r="AO74" s="3526">
        <v>0</v>
      </c>
      <c r="AP74" s="3526" t="s">
        <v>3059</v>
      </c>
      <c r="AQ74" s="3526">
        <v>0</v>
      </c>
      <c r="AR74" s="3526">
        <v>0</v>
      </c>
    </row>
    <row r="75" spans="1:45" ht="14.25">
      <c r="A75" s="3525" t="s">
        <v>3203</v>
      </c>
      <c r="B75" s="3525">
        <v>2019057004</v>
      </c>
      <c r="C75" s="3525" t="s">
        <v>3048</v>
      </c>
      <c r="D75" s="3525" t="s">
        <v>3049</v>
      </c>
      <c r="E75" s="3525" t="s">
        <v>3369</v>
      </c>
      <c r="F75" s="3525" t="s">
        <v>3204</v>
      </c>
      <c r="G75" s="3525" t="s">
        <v>3051</v>
      </c>
      <c r="H75" s="3525">
        <v>6978</v>
      </c>
      <c r="I75" s="3525">
        <v>20934</v>
      </c>
      <c r="J75" s="3525" t="s">
        <v>3366</v>
      </c>
      <c r="K75" s="3525" t="s">
        <v>3358</v>
      </c>
      <c r="L75" s="3525" t="s">
        <v>3404</v>
      </c>
      <c r="M75" s="3525" t="s">
        <v>3052</v>
      </c>
      <c r="N75" s="3525" t="s">
        <v>3053</v>
      </c>
      <c r="O75" s="3525" t="s">
        <v>3056</v>
      </c>
      <c r="P75" s="3525" t="s">
        <v>3056</v>
      </c>
      <c r="Q75" s="3525" t="s">
        <v>3056</v>
      </c>
      <c r="R75" s="3525" t="s">
        <v>3056</v>
      </c>
      <c r="S75" s="3525" t="s">
        <v>3056</v>
      </c>
      <c r="T75" s="3525" t="s">
        <v>3056</v>
      </c>
      <c r="U75" s="3525" t="s">
        <v>3056</v>
      </c>
      <c r="V75" s="3525" t="s">
        <v>3056</v>
      </c>
      <c r="W75" s="3525" t="s">
        <v>3056</v>
      </c>
      <c r="X75" s="3527">
        <v>43804.000497685185</v>
      </c>
      <c r="Y75" s="3527">
        <v>43825.000497685185</v>
      </c>
      <c r="Z75" s="3527">
        <v>43835.000497685185</v>
      </c>
      <c r="AA75" s="3527">
        <v>43835.000497685185</v>
      </c>
      <c r="AB75" s="3525" t="s">
        <v>3168</v>
      </c>
      <c r="AC75" s="3525" t="s">
        <v>3058</v>
      </c>
      <c r="AD75" s="3525" t="s">
        <v>3437</v>
      </c>
      <c r="AE75" s="3525" t="s">
        <v>2776</v>
      </c>
      <c r="AF75" s="3525">
        <v>4186.8</v>
      </c>
      <c r="AG75" s="3525">
        <v>900</v>
      </c>
      <c r="AH75" s="3525">
        <v>4186.8</v>
      </c>
      <c r="AI75" s="3525">
        <v>400</v>
      </c>
      <c r="AJ75" s="3525">
        <v>400</v>
      </c>
      <c r="AK75" s="3525">
        <v>2000</v>
      </c>
      <c r="AL75" s="3525">
        <v>2000</v>
      </c>
      <c r="AM75" s="3525" t="s">
        <v>3056</v>
      </c>
      <c r="AN75" s="3525" t="s">
        <v>3056</v>
      </c>
      <c r="AO75" s="3525">
        <v>0</v>
      </c>
      <c r="AP75" s="3525" t="s">
        <v>3059</v>
      </c>
      <c r="AQ75" s="3525">
        <v>0</v>
      </c>
      <c r="AR75" s="3525">
        <v>0</v>
      </c>
    </row>
    <row r="76" spans="1:45" ht="14.25">
      <c r="A76" s="3525" t="s">
        <v>3205</v>
      </c>
      <c r="B76" s="3525">
        <v>2019057003</v>
      </c>
      <c r="C76" s="3525" t="s">
        <v>3048</v>
      </c>
      <c r="D76" s="3525" t="s">
        <v>3049</v>
      </c>
      <c r="E76" s="3525" t="s">
        <v>3369</v>
      </c>
      <c r="F76" s="3525" t="s">
        <v>3206</v>
      </c>
      <c r="G76" s="3525" t="s">
        <v>3051</v>
      </c>
      <c r="H76" s="3525">
        <v>6465</v>
      </c>
      <c r="I76" s="3525">
        <v>19395</v>
      </c>
      <c r="J76" s="3525" t="s">
        <v>3366</v>
      </c>
      <c r="K76" s="3525" t="s">
        <v>3358</v>
      </c>
      <c r="L76" s="3525" t="s">
        <v>3404</v>
      </c>
      <c r="M76" s="3525" t="s">
        <v>3052</v>
      </c>
      <c r="N76" s="3525" t="s">
        <v>3053</v>
      </c>
      <c r="O76" s="3525" t="s">
        <v>3056</v>
      </c>
      <c r="P76" s="3525" t="s">
        <v>3056</v>
      </c>
      <c r="Q76" s="3525" t="s">
        <v>3056</v>
      </c>
      <c r="R76" s="3525" t="s">
        <v>3056</v>
      </c>
      <c r="S76" s="3525" t="s">
        <v>3056</v>
      </c>
      <c r="T76" s="3525" t="s">
        <v>3056</v>
      </c>
      <c r="U76" s="3525" t="s">
        <v>3056</v>
      </c>
      <c r="V76" s="3525" t="s">
        <v>3056</v>
      </c>
      <c r="W76" s="3525" t="s">
        <v>3056</v>
      </c>
      <c r="X76" s="3527">
        <v>43804.000497685185</v>
      </c>
      <c r="Y76" s="3527">
        <v>43825.000497685185</v>
      </c>
      <c r="Z76" s="3527">
        <v>43835.000497685185</v>
      </c>
      <c r="AA76" s="3527">
        <v>43835.000497685185</v>
      </c>
      <c r="AB76" s="3525" t="s">
        <v>3168</v>
      </c>
      <c r="AC76" s="3525" t="s">
        <v>3058</v>
      </c>
      <c r="AD76" s="3525" t="s">
        <v>3437</v>
      </c>
      <c r="AE76" s="3525" t="s">
        <v>2776</v>
      </c>
      <c r="AF76" s="3525">
        <v>3879</v>
      </c>
      <c r="AG76" s="3525">
        <v>800</v>
      </c>
      <c r="AH76" s="3525">
        <v>4848.75</v>
      </c>
      <c r="AI76" s="3525">
        <v>400</v>
      </c>
      <c r="AJ76" s="3525">
        <v>500</v>
      </c>
      <c r="AK76" s="3525">
        <v>2000</v>
      </c>
      <c r="AL76" s="3525">
        <v>2500</v>
      </c>
      <c r="AM76" s="3525" t="s">
        <v>3056</v>
      </c>
      <c r="AN76" s="3525" t="s">
        <v>3056</v>
      </c>
      <c r="AO76" s="3525">
        <v>25</v>
      </c>
      <c r="AP76" s="3525" t="s">
        <v>3059</v>
      </c>
      <c r="AQ76" s="3525">
        <v>0</v>
      </c>
      <c r="AR76" s="3525">
        <v>0</v>
      </c>
    </row>
    <row r="77" spans="1:45" ht="14.25">
      <c r="A77" s="3525" t="s">
        <v>3207</v>
      </c>
      <c r="B77" s="3525">
        <v>2019057001</v>
      </c>
      <c r="C77" s="3525" t="s">
        <v>3048</v>
      </c>
      <c r="D77" s="3525" t="s">
        <v>3049</v>
      </c>
      <c r="E77" s="3525" t="s">
        <v>3382</v>
      </c>
      <c r="F77" s="3525" t="s">
        <v>3208</v>
      </c>
      <c r="G77" s="3525" t="s">
        <v>3051</v>
      </c>
      <c r="H77" s="3525">
        <v>2249</v>
      </c>
      <c r="I77" s="3525">
        <v>6747</v>
      </c>
      <c r="J77" s="3525" t="s">
        <v>3366</v>
      </c>
      <c r="K77" s="3525" t="s">
        <v>3358</v>
      </c>
      <c r="L77" s="3525" t="s">
        <v>3404</v>
      </c>
      <c r="M77" s="3525" t="s">
        <v>3052</v>
      </c>
      <c r="N77" s="3525" t="s">
        <v>3053</v>
      </c>
      <c r="O77" s="3525" t="s">
        <v>3056</v>
      </c>
      <c r="P77" s="3525" t="s">
        <v>3056</v>
      </c>
      <c r="Q77" s="3525" t="s">
        <v>3056</v>
      </c>
      <c r="R77" s="3525" t="s">
        <v>3056</v>
      </c>
      <c r="S77" s="3525" t="s">
        <v>3056</v>
      </c>
      <c r="T77" s="3525" t="s">
        <v>3056</v>
      </c>
      <c r="U77" s="3525" t="s">
        <v>3056</v>
      </c>
      <c r="V77" s="3525" t="s">
        <v>3056</v>
      </c>
      <c r="W77" s="3525" t="s">
        <v>3056</v>
      </c>
      <c r="X77" s="3527">
        <v>43804.000497685185</v>
      </c>
      <c r="Y77" s="3527">
        <v>43825.000497685185</v>
      </c>
      <c r="Z77" s="3527">
        <v>43835.000497685185</v>
      </c>
      <c r="AA77" s="3527">
        <v>43835.000497685185</v>
      </c>
      <c r="AB77" s="3525" t="s">
        <v>3168</v>
      </c>
      <c r="AC77" s="3525" t="s">
        <v>3058</v>
      </c>
      <c r="AD77" s="3525" t="s">
        <v>3437</v>
      </c>
      <c r="AE77" s="3525" t="s">
        <v>2776</v>
      </c>
      <c r="AF77" s="3525">
        <v>1349.4</v>
      </c>
      <c r="AG77" s="3525">
        <v>300</v>
      </c>
      <c r="AH77" s="3525">
        <v>1686.75</v>
      </c>
      <c r="AI77" s="3525">
        <v>400</v>
      </c>
      <c r="AJ77" s="3525">
        <v>500</v>
      </c>
      <c r="AK77" s="3525">
        <v>2000</v>
      </c>
      <c r="AL77" s="3525">
        <v>2500</v>
      </c>
      <c r="AM77" s="3525" t="s">
        <v>3056</v>
      </c>
      <c r="AN77" s="3525" t="s">
        <v>3056</v>
      </c>
      <c r="AO77" s="3525">
        <v>25</v>
      </c>
      <c r="AP77" s="3525" t="s">
        <v>3059</v>
      </c>
      <c r="AQ77" s="3525">
        <v>0</v>
      </c>
      <c r="AR77" s="3525">
        <v>0</v>
      </c>
    </row>
    <row r="78" spans="1:45" ht="14.25">
      <c r="A78" s="3525" t="s">
        <v>3209</v>
      </c>
      <c r="B78" s="3525">
        <v>2019057002</v>
      </c>
      <c r="C78" s="3525" t="s">
        <v>3048</v>
      </c>
      <c r="D78" s="3525" t="s">
        <v>3049</v>
      </c>
      <c r="E78" s="3525" t="s">
        <v>3382</v>
      </c>
      <c r="F78" s="3525" t="s">
        <v>3210</v>
      </c>
      <c r="G78" s="3525" t="s">
        <v>3051</v>
      </c>
      <c r="H78" s="3525">
        <v>2858</v>
      </c>
      <c r="I78" s="3525">
        <v>8574</v>
      </c>
      <c r="J78" s="3525" t="s">
        <v>3366</v>
      </c>
      <c r="K78" s="3525" t="s">
        <v>3358</v>
      </c>
      <c r="L78" s="3525" t="s">
        <v>3404</v>
      </c>
      <c r="M78" s="3525" t="s">
        <v>3052</v>
      </c>
      <c r="N78" s="3525" t="s">
        <v>3053</v>
      </c>
      <c r="O78" s="3525" t="s">
        <v>3056</v>
      </c>
      <c r="P78" s="3525" t="s">
        <v>3056</v>
      </c>
      <c r="Q78" s="3525" t="s">
        <v>3056</v>
      </c>
      <c r="R78" s="3525" t="s">
        <v>3056</v>
      </c>
      <c r="S78" s="3525" t="s">
        <v>3056</v>
      </c>
      <c r="T78" s="3525" t="s">
        <v>3056</v>
      </c>
      <c r="U78" s="3525" t="s">
        <v>3056</v>
      </c>
      <c r="V78" s="3525" t="s">
        <v>3056</v>
      </c>
      <c r="W78" s="3525" t="s">
        <v>3056</v>
      </c>
      <c r="X78" s="3527">
        <v>43804.000497685185</v>
      </c>
      <c r="Y78" s="3527">
        <v>43825.000497685185</v>
      </c>
      <c r="Z78" s="3527">
        <v>43835.000497685185</v>
      </c>
      <c r="AA78" s="3527">
        <v>43835.000497685185</v>
      </c>
      <c r="AB78" s="3525" t="s">
        <v>3168</v>
      </c>
      <c r="AC78" s="3525" t="s">
        <v>3058</v>
      </c>
      <c r="AD78" s="3525" t="s">
        <v>3437</v>
      </c>
      <c r="AE78" s="3525" t="s">
        <v>2776</v>
      </c>
      <c r="AF78" s="3525">
        <v>1714.79</v>
      </c>
      <c r="AG78" s="3525">
        <v>400</v>
      </c>
      <c r="AH78" s="3525">
        <v>2143.5</v>
      </c>
      <c r="AI78" s="3525">
        <v>400</v>
      </c>
      <c r="AJ78" s="3525">
        <v>500</v>
      </c>
      <c r="AK78" s="3525">
        <v>2000</v>
      </c>
      <c r="AL78" s="3525">
        <v>2500</v>
      </c>
      <c r="AM78" s="3525" t="s">
        <v>3056</v>
      </c>
      <c r="AN78" s="3525" t="s">
        <v>3056</v>
      </c>
      <c r="AO78" s="3525">
        <v>25</v>
      </c>
      <c r="AP78" s="3525" t="s">
        <v>3059</v>
      </c>
      <c r="AQ78" s="3525">
        <v>0</v>
      </c>
      <c r="AR78" s="3525">
        <v>0</v>
      </c>
    </row>
    <row r="79" spans="1:45" ht="14.25">
      <c r="A79" s="3525" t="s">
        <v>3211</v>
      </c>
      <c r="B79" s="3525">
        <v>2019054001</v>
      </c>
      <c r="C79" s="3525" t="s">
        <v>3048</v>
      </c>
      <c r="D79" s="3525" t="s">
        <v>3049</v>
      </c>
      <c r="E79" s="3525" t="s">
        <v>3382</v>
      </c>
      <c r="F79" s="3525" t="s">
        <v>3212</v>
      </c>
      <c r="G79" s="3525" t="s">
        <v>3051</v>
      </c>
      <c r="H79" s="3525">
        <v>53333</v>
      </c>
      <c r="I79" s="3525">
        <v>159999</v>
      </c>
      <c r="J79" s="3525" t="s">
        <v>3438</v>
      </c>
      <c r="K79" s="3525" t="s">
        <v>3358</v>
      </c>
      <c r="L79" s="3525" t="s">
        <v>3404</v>
      </c>
      <c r="M79" s="3525" t="s">
        <v>3052</v>
      </c>
      <c r="N79" s="3525" t="s">
        <v>3053</v>
      </c>
      <c r="O79" s="3525" t="s">
        <v>3056</v>
      </c>
      <c r="P79" s="3525" t="s">
        <v>3056</v>
      </c>
      <c r="Q79" s="3525" t="s">
        <v>3056</v>
      </c>
      <c r="R79" s="3525" t="s">
        <v>3056</v>
      </c>
      <c r="S79" s="3525" t="s">
        <v>3056</v>
      </c>
      <c r="T79" s="3525" t="s">
        <v>3056</v>
      </c>
      <c r="U79" s="3525" t="s">
        <v>3056</v>
      </c>
      <c r="V79" s="3525" t="s">
        <v>3056</v>
      </c>
      <c r="W79" s="3525" t="s">
        <v>3056</v>
      </c>
      <c r="X79" s="3527">
        <v>43781.000497685185</v>
      </c>
      <c r="Y79" s="3527">
        <v>43802.000497685185</v>
      </c>
      <c r="Z79" s="3527">
        <v>43817.000497685185</v>
      </c>
      <c r="AA79" s="3527">
        <v>43817.000497685185</v>
      </c>
      <c r="AB79" s="3525" t="s">
        <v>3213</v>
      </c>
      <c r="AC79" s="3525" t="s">
        <v>3058</v>
      </c>
      <c r="AD79" s="3525" t="s">
        <v>3426</v>
      </c>
      <c r="AE79" s="3525" t="s">
        <v>3439</v>
      </c>
      <c r="AF79" s="3525">
        <v>45802.37</v>
      </c>
      <c r="AG79" s="3525">
        <v>10000</v>
      </c>
      <c r="AH79" s="3525">
        <v>45802.37</v>
      </c>
      <c r="AI79" s="3525">
        <v>572.53</v>
      </c>
      <c r="AJ79" s="3525">
        <v>572.53</v>
      </c>
      <c r="AK79" s="3525">
        <v>2863</v>
      </c>
      <c r="AL79" s="3525">
        <v>2863</v>
      </c>
      <c r="AM79" s="3525" t="s">
        <v>3056</v>
      </c>
      <c r="AN79" s="3525" t="s">
        <v>3056</v>
      </c>
      <c r="AO79" s="3525">
        <v>0</v>
      </c>
      <c r="AP79" s="3525">
        <v>70</v>
      </c>
      <c r="AQ79" s="3525">
        <v>0</v>
      </c>
      <c r="AR79" s="3525">
        <v>0</v>
      </c>
    </row>
    <row r="80" spans="1:45" ht="14.25">
      <c r="A80" s="3525" t="s">
        <v>3214</v>
      </c>
      <c r="B80" s="3525">
        <v>2019055001</v>
      </c>
      <c r="C80" s="3525" t="s">
        <v>3048</v>
      </c>
      <c r="D80" s="3525" t="s">
        <v>3049</v>
      </c>
      <c r="E80" s="3525" t="s">
        <v>3356</v>
      </c>
      <c r="F80" s="3525" t="s">
        <v>3215</v>
      </c>
      <c r="G80" s="3525" t="s">
        <v>3051</v>
      </c>
      <c r="H80" s="3525">
        <v>18656</v>
      </c>
      <c r="I80" s="3525">
        <v>54102.400000000001</v>
      </c>
      <c r="J80" s="3525" t="s">
        <v>3440</v>
      </c>
      <c r="K80" s="3525" t="s">
        <v>3358</v>
      </c>
      <c r="L80" s="3525" t="s">
        <v>3404</v>
      </c>
      <c r="M80" s="3525" t="s">
        <v>3052</v>
      </c>
      <c r="N80" s="3525" t="s">
        <v>3053</v>
      </c>
      <c r="O80" s="3525" t="s">
        <v>3064</v>
      </c>
      <c r="P80" s="3525" t="s">
        <v>3056</v>
      </c>
      <c r="Q80" s="3525" t="s">
        <v>3056</v>
      </c>
      <c r="R80" s="3525" t="s">
        <v>3056</v>
      </c>
      <c r="S80" s="3525" t="s">
        <v>3056</v>
      </c>
      <c r="T80" s="3525" t="s">
        <v>3056</v>
      </c>
      <c r="U80" s="3525" t="s">
        <v>3056</v>
      </c>
      <c r="V80" s="3525" t="s">
        <v>3056</v>
      </c>
      <c r="W80" s="3525" t="s">
        <v>3056</v>
      </c>
      <c r="X80" s="3527">
        <v>43784.000497685185</v>
      </c>
      <c r="Y80" s="3527">
        <v>43804.000497685185</v>
      </c>
      <c r="Z80" s="3527">
        <v>43814.000497685185</v>
      </c>
      <c r="AA80" s="3527">
        <v>43814.000497685185</v>
      </c>
      <c r="AB80" s="3525" t="s">
        <v>3168</v>
      </c>
      <c r="AC80" s="3525" t="s">
        <v>3058</v>
      </c>
      <c r="AD80" s="3525" t="s">
        <v>3441</v>
      </c>
      <c r="AE80" s="3525" t="s">
        <v>2776</v>
      </c>
      <c r="AF80" s="3525">
        <v>13432.31</v>
      </c>
      <c r="AG80" s="3525">
        <v>3000</v>
      </c>
      <c r="AH80" s="3525">
        <v>13432.31</v>
      </c>
      <c r="AI80" s="3525">
        <v>480</v>
      </c>
      <c r="AJ80" s="3525">
        <v>480</v>
      </c>
      <c r="AK80" s="3525">
        <v>2483</v>
      </c>
      <c r="AL80" s="3525">
        <v>2483</v>
      </c>
      <c r="AM80" s="3525" t="s">
        <v>3056</v>
      </c>
      <c r="AN80" s="3525" t="s">
        <v>3056</v>
      </c>
      <c r="AO80" s="3525">
        <v>0</v>
      </c>
      <c r="AP80" s="3525" t="s">
        <v>3059</v>
      </c>
      <c r="AQ80" s="3525">
        <v>0</v>
      </c>
      <c r="AR80" s="3525">
        <v>0</v>
      </c>
    </row>
    <row r="81" spans="1:44" ht="14.25">
      <c r="A81" s="3525" t="s">
        <v>3216</v>
      </c>
      <c r="B81" s="3525">
        <v>2019051001</v>
      </c>
      <c r="C81" s="3525" t="s">
        <v>3048</v>
      </c>
      <c r="D81" s="3525" t="s">
        <v>3049</v>
      </c>
      <c r="E81" s="3525" t="s">
        <v>3382</v>
      </c>
      <c r="F81" s="3525" t="s">
        <v>3217</v>
      </c>
      <c r="G81" s="3525" t="s">
        <v>3051</v>
      </c>
      <c r="H81" s="3525">
        <v>3253.5</v>
      </c>
      <c r="I81" s="3525">
        <v>3578.85</v>
      </c>
      <c r="J81" s="3525" t="s">
        <v>3442</v>
      </c>
      <c r="K81" s="3525" t="s">
        <v>3358</v>
      </c>
      <c r="L81" s="3525" t="s">
        <v>3404</v>
      </c>
      <c r="M81" s="3525" t="s">
        <v>3052</v>
      </c>
      <c r="N81" s="3525" t="s">
        <v>3053</v>
      </c>
      <c r="O81" s="3525" t="s">
        <v>3218</v>
      </c>
      <c r="P81" s="3525" t="s">
        <v>3056</v>
      </c>
      <c r="Q81" s="3525" t="s">
        <v>3056</v>
      </c>
      <c r="R81" s="3525" t="s">
        <v>3056</v>
      </c>
      <c r="S81" s="3525" t="s">
        <v>3056</v>
      </c>
      <c r="T81" s="3525" t="s">
        <v>3056</v>
      </c>
      <c r="U81" s="3525" t="s">
        <v>3056</v>
      </c>
      <c r="V81" s="3525" t="s">
        <v>3056</v>
      </c>
      <c r="W81" s="3525" t="s">
        <v>3056</v>
      </c>
      <c r="X81" s="3527">
        <v>43767.000497685185</v>
      </c>
      <c r="Y81" s="3527">
        <v>43788.000497685185</v>
      </c>
      <c r="Z81" s="3527">
        <v>43798.000497685185</v>
      </c>
      <c r="AA81" s="3527">
        <v>43798.000497685185</v>
      </c>
      <c r="AB81" s="3525" t="s">
        <v>3168</v>
      </c>
      <c r="AC81" s="3525" t="s">
        <v>3058</v>
      </c>
      <c r="AD81" s="3525" t="s">
        <v>3443</v>
      </c>
      <c r="AE81" s="3525" t="s">
        <v>2776</v>
      </c>
      <c r="AF81" s="3525">
        <v>1369.4</v>
      </c>
      <c r="AG81" s="3525">
        <v>300</v>
      </c>
      <c r="AH81" s="3525">
        <v>1369.4</v>
      </c>
      <c r="AI81" s="3525">
        <v>280.60000000000002</v>
      </c>
      <c r="AJ81" s="3525">
        <v>280.60000000000002</v>
      </c>
      <c r="AK81" s="3525">
        <v>3826</v>
      </c>
      <c r="AL81" s="3525">
        <v>3826</v>
      </c>
      <c r="AM81" s="3525" t="s">
        <v>3056</v>
      </c>
      <c r="AN81" s="3525" t="s">
        <v>3056</v>
      </c>
      <c r="AO81" s="3525">
        <v>0</v>
      </c>
      <c r="AP81" s="3525" t="s">
        <v>3059</v>
      </c>
      <c r="AQ81" s="3525">
        <v>0</v>
      </c>
      <c r="AR81" s="3525">
        <v>0</v>
      </c>
    </row>
    <row r="82" spans="1:44" ht="14.25">
      <c r="A82" s="3525" t="s">
        <v>3219</v>
      </c>
      <c r="B82" s="3525">
        <v>2019050001</v>
      </c>
      <c r="C82" s="3525" t="s">
        <v>3048</v>
      </c>
      <c r="D82" s="3525" t="s">
        <v>3049</v>
      </c>
      <c r="E82" s="3525" t="s">
        <v>3369</v>
      </c>
      <c r="F82" s="3525" t="s">
        <v>3220</v>
      </c>
      <c r="G82" s="3525" t="s">
        <v>3051</v>
      </c>
      <c r="H82" s="3525">
        <v>57635</v>
      </c>
      <c r="I82" s="3525">
        <v>144087.5</v>
      </c>
      <c r="J82" s="3525" t="s">
        <v>3444</v>
      </c>
      <c r="K82" s="3525" t="s">
        <v>3358</v>
      </c>
      <c r="L82" s="3525" t="s">
        <v>3404</v>
      </c>
      <c r="M82" s="3525" t="s">
        <v>3052</v>
      </c>
      <c r="N82" s="3525" t="s">
        <v>3053</v>
      </c>
      <c r="O82" s="3525" t="s">
        <v>3221</v>
      </c>
      <c r="P82" s="3525" t="s">
        <v>3056</v>
      </c>
      <c r="Q82" s="3525" t="s">
        <v>3056</v>
      </c>
      <c r="R82" s="3525" t="s">
        <v>3056</v>
      </c>
      <c r="S82" s="3525" t="s">
        <v>3056</v>
      </c>
      <c r="T82" s="3525" t="s">
        <v>3056</v>
      </c>
      <c r="U82" s="3525" t="s">
        <v>3056</v>
      </c>
      <c r="V82" s="3525" t="s">
        <v>3056</v>
      </c>
      <c r="W82" s="3525" t="s">
        <v>3056</v>
      </c>
      <c r="X82" s="3527">
        <v>43763.000497685185</v>
      </c>
      <c r="Y82" s="3527">
        <v>43784.000497685185</v>
      </c>
      <c r="Z82" s="3527">
        <v>43794.000497685185</v>
      </c>
      <c r="AA82" s="3527">
        <v>43794.000497685185</v>
      </c>
      <c r="AB82" s="3525" t="s">
        <v>3222</v>
      </c>
      <c r="AC82" s="3525" t="s">
        <v>3058</v>
      </c>
      <c r="AD82" s="3525" t="s">
        <v>3412</v>
      </c>
      <c r="AE82" s="3525" t="s">
        <v>3413</v>
      </c>
      <c r="AF82" s="3525">
        <v>27664.79</v>
      </c>
      <c r="AG82" s="3525">
        <v>5600</v>
      </c>
      <c r="AH82" s="3525">
        <v>32102.7</v>
      </c>
      <c r="AI82" s="3525">
        <v>320</v>
      </c>
      <c r="AJ82" s="3525">
        <v>371.33</v>
      </c>
      <c r="AK82" s="3525">
        <v>1920</v>
      </c>
      <c r="AL82" s="3525">
        <v>2228</v>
      </c>
      <c r="AM82" s="3525" t="s">
        <v>3056</v>
      </c>
      <c r="AN82" s="3525" t="s">
        <v>3056</v>
      </c>
      <c r="AO82" s="3525">
        <v>16.04</v>
      </c>
      <c r="AP82" s="3525">
        <v>70</v>
      </c>
      <c r="AQ82" s="3525">
        <v>0</v>
      </c>
      <c r="AR82" s="3525">
        <v>0</v>
      </c>
    </row>
    <row r="83" spans="1:44" ht="14.25">
      <c r="A83" s="3525" t="s">
        <v>3223</v>
      </c>
      <c r="B83" s="3525">
        <v>2019047001</v>
      </c>
      <c r="C83" s="3525" t="s">
        <v>3048</v>
      </c>
      <c r="D83" s="3525" t="s">
        <v>3049</v>
      </c>
      <c r="E83" s="3525" t="s">
        <v>3369</v>
      </c>
      <c r="F83" s="3525" t="s">
        <v>3224</v>
      </c>
      <c r="G83" s="3525" t="s">
        <v>3051</v>
      </c>
      <c r="H83" s="3525">
        <v>27661</v>
      </c>
      <c r="I83" s="3525">
        <v>66386.399999999994</v>
      </c>
      <c r="J83" s="3525" t="s">
        <v>3396</v>
      </c>
      <c r="K83" s="3525" t="s">
        <v>3358</v>
      </c>
      <c r="L83" s="3525" t="s">
        <v>3404</v>
      </c>
      <c r="M83" s="3525" t="s">
        <v>3052</v>
      </c>
      <c r="N83" s="3525" t="s">
        <v>3053</v>
      </c>
      <c r="O83" s="3525" t="s">
        <v>3178</v>
      </c>
      <c r="P83" s="3525" t="s">
        <v>3056</v>
      </c>
      <c r="Q83" s="3525" t="s">
        <v>3056</v>
      </c>
      <c r="R83" s="3525" t="s">
        <v>3056</v>
      </c>
      <c r="S83" s="3525" t="s">
        <v>3056</v>
      </c>
      <c r="T83" s="3525" t="s">
        <v>3056</v>
      </c>
      <c r="U83" s="3525" t="s">
        <v>3056</v>
      </c>
      <c r="V83" s="3525" t="s">
        <v>3056</v>
      </c>
      <c r="W83" s="3525" t="s">
        <v>3056</v>
      </c>
      <c r="X83" s="3527">
        <v>43711.000497685185</v>
      </c>
      <c r="Y83" s="3527">
        <v>43732.000497685185</v>
      </c>
      <c r="Z83" s="3527">
        <v>43748.000497685185</v>
      </c>
      <c r="AA83" s="3527">
        <v>43748.000497685185</v>
      </c>
      <c r="AB83" s="3525" t="s">
        <v>3168</v>
      </c>
      <c r="AC83" s="3525" t="s">
        <v>3058</v>
      </c>
      <c r="AD83" s="3525" t="s">
        <v>3445</v>
      </c>
      <c r="AE83" s="3525" t="s">
        <v>3372</v>
      </c>
      <c r="AF83" s="3525">
        <v>18671.18</v>
      </c>
      <c r="AG83" s="3525">
        <v>4000</v>
      </c>
      <c r="AH83" s="3525">
        <v>33635.769999999997</v>
      </c>
      <c r="AI83" s="3525">
        <v>450</v>
      </c>
      <c r="AJ83" s="3525">
        <v>810.67</v>
      </c>
      <c r="AK83" s="3525">
        <v>2813</v>
      </c>
      <c r="AL83" s="3525">
        <v>5067</v>
      </c>
      <c r="AM83" s="3525" t="s">
        <v>3056</v>
      </c>
      <c r="AN83" s="3525" t="s">
        <v>3056</v>
      </c>
      <c r="AO83" s="3525">
        <v>80.150000000000006</v>
      </c>
      <c r="AP83" s="3525" t="s">
        <v>3059</v>
      </c>
      <c r="AQ83" s="3525">
        <v>0</v>
      </c>
      <c r="AR83" s="3525">
        <v>0</v>
      </c>
    </row>
    <row r="84" spans="1:44" s="3292" customFormat="1" ht="14.25" hidden="1" customHeight="1">
      <c r="A84" s="3526" t="s">
        <v>3201</v>
      </c>
      <c r="B84" s="3526">
        <v>2019046001</v>
      </c>
      <c r="C84" s="3525" t="s">
        <v>3048</v>
      </c>
      <c r="D84" s="3525" t="s">
        <v>3049</v>
      </c>
      <c r="E84" s="3526" t="s">
        <v>3414</v>
      </c>
      <c r="F84" s="3525" t="s">
        <v>3202</v>
      </c>
      <c r="G84" s="3525" t="s">
        <v>3051</v>
      </c>
      <c r="H84" s="3526">
        <v>13419.5</v>
      </c>
      <c r="I84" s="3526">
        <v>42942.400000000001</v>
      </c>
      <c r="J84" s="3526" t="s">
        <v>3400</v>
      </c>
      <c r="K84" s="3525" t="s">
        <v>3358</v>
      </c>
      <c r="L84" s="3526" t="s">
        <v>3404</v>
      </c>
      <c r="M84" s="3525" t="s">
        <v>3052</v>
      </c>
      <c r="N84" s="3525" t="s">
        <v>3053</v>
      </c>
      <c r="O84" s="3525" t="s">
        <v>3064</v>
      </c>
      <c r="P84" s="3525" t="s">
        <v>3056</v>
      </c>
      <c r="Q84" s="3525" t="s">
        <v>3056</v>
      </c>
      <c r="R84" s="3525" t="s">
        <v>3056</v>
      </c>
      <c r="S84" s="3525" t="s">
        <v>3056</v>
      </c>
      <c r="T84" s="3525" t="s">
        <v>3056</v>
      </c>
      <c r="U84" s="3525" t="s">
        <v>3056</v>
      </c>
      <c r="V84" s="3525" t="s">
        <v>3056</v>
      </c>
      <c r="W84" s="3525" t="s">
        <v>3056</v>
      </c>
      <c r="X84" s="3527">
        <v>43710.000497685185</v>
      </c>
      <c r="Y84" s="3527">
        <v>43731.000497685185</v>
      </c>
      <c r="Z84" s="3527">
        <v>43746.000497685185</v>
      </c>
      <c r="AA84" s="3528">
        <v>43746.000497685185</v>
      </c>
      <c r="AB84" s="3525" t="s">
        <v>3168</v>
      </c>
      <c r="AC84" s="3525" t="s">
        <v>3058</v>
      </c>
      <c r="AD84" s="3526" t="s">
        <v>3415</v>
      </c>
      <c r="AE84" s="3526" t="s">
        <v>2776</v>
      </c>
      <c r="AF84" s="3525">
        <v>9259.4500000000007</v>
      </c>
      <c r="AG84" s="3525">
        <v>1900</v>
      </c>
      <c r="AH84" s="3525">
        <v>9259.4500000000007</v>
      </c>
      <c r="AI84" s="3525">
        <v>460</v>
      </c>
      <c r="AJ84" s="3526">
        <v>460</v>
      </c>
      <c r="AK84" s="3525">
        <v>2156</v>
      </c>
      <c r="AL84" s="3526">
        <v>2156</v>
      </c>
      <c r="AM84" s="3525" t="s">
        <v>3056</v>
      </c>
      <c r="AN84" s="3525" t="s">
        <v>3056</v>
      </c>
      <c r="AO84" s="3526">
        <v>0</v>
      </c>
      <c r="AP84" s="3526" t="s">
        <v>3059</v>
      </c>
      <c r="AQ84" s="3526">
        <v>0</v>
      </c>
      <c r="AR84" s="3526">
        <v>0</v>
      </c>
    </row>
    <row r="85" spans="1:44" s="3292" customFormat="1" ht="14.25" hidden="1" customHeight="1">
      <c r="A85" s="3526" t="s">
        <v>3225</v>
      </c>
      <c r="B85" s="3526">
        <v>2019045002</v>
      </c>
      <c r="C85" s="3525" t="s">
        <v>3048</v>
      </c>
      <c r="D85" s="3525" t="s">
        <v>3049</v>
      </c>
      <c r="E85" s="3526" t="s">
        <v>3423</v>
      </c>
      <c r="F85" s="3525" t="s">
        <v>3226</v>
      </c>
      <c r="G85" s="3525" t="s">
        <v>3051</v>
      </c>
      <c r="H85" s="3526">
        <v>6020</v>
      </c>
      <c r="I85" s="3526">
        <v>16856</v>
      </c>
      <c r="J85" s="3526" t="s">
        <v>3424</v>
      </c>
      <c r="K85" s="3525" t="s">
        <v>3358</v>
      </c>
      <c r="L85" s="3526" t="s">
        <v>3404</v>
      </c>
      <c r="M85" s="3525" t="s">
        <v>3052</v>
      </c>
      <c r="N85" s="3525" t="s">
        <v>3053</v>
      </c>
      <c r="O85" s="3525" t="s">
        <v>3064</v>
      </c>
      <c r="P85" s="3525" t="s">
        <v>3056</v>
      </c>
      <c r="Q85" s="3525" t="s">
        <v>3056</v>
      </c>
      <c r="R85" s="3525" t="s">
        <v>3056</v>
      </c>
      <c r="S85" s="3525" t="s">
        <v>3056</v>
      </c>
      <c r="T85" s="3525" t="s">
        <v>3056</v>
      </c>
      <c r="U85" s="3525" t="s">
        <v>3056</v>
      </c>
      <c r="V85" s="3525" t="s">
        <v>3056</v>
      </c>
      <c r="W85" s="3525" t="s">
        <v>3056</v>
      </c>
      <c r="X85" s="3527">
        <v>43704.000497685185</v>
      </c>
      <c r="Y85" s="3527">
        <v>43725.000497685185</v>
      </c>
      <c r="Z85" s="3527">
        <v>43734.000497685185</v>
      </c>
      <c r="AA85" s="3528">
        <v>43734.000497685185</v>
      </c>
      <c r="AB85" s="3525" t="s">
        <v>3168</v>
      </c>
      <c r="AC85" s="3525" t="s">
        <v>3058</v>
      </c>
      <c r="AD85" s="3526" t="s">
        <v>3425</v>
      </c>
      <c r="AE85" s="3526" t="s">
        <v>2776</v>
      </c>
      <c r="AF85" s="3525">
        <v>4334.3900000000003</v>
      </c>
      <c r="AG85" s="3525">
        <v>900</v>
      </c>
      <c r="AH85" s="3525">
        <v>4334.3900000000003</v>
      </c>
      <c r="AI85" s="3525">
        <v>480</v>
      </c>
      <c r="AJ85" s="3526">
        <v>480</v>
      </c>
      <c r="AK85" s="3525">
        <v>2571</v>
      </c>
      <c r="AL85" s="3526">
        <v>2571</v>
      </c>
      <c r="AM85" s="3525" t="s">
        <v>3056</v>
      </c>
      <c r="AN85" s="3525" t="s">
        <v>3056</v>
      </c>
      <c r="AO85" s="3526">
        <v>0</v>
      </c>
      <c r="AP85" s="3526" t="s">
        <v>3059</v>
      </c>
      <c r="AQ85" s="3526">
        <v>0</v>
      </c>
      <c r="AR85" s="3526">
        <v>0</v>
      </c>
    </row>
    <row r="86" spans="1:44" s="3292" customFormat="1" ht="14.25" hidden="1" customHeight="1">
      <c r="A86" s="3526" t="s">
        <v>3227</v>
      </c>
      <c r="B86" s="3526">
        <v>2019045001</v>
      </c>
      <c r="C86" s="3525" t="s">
        <v>3048</v>
      </c>
      <c r="D86" s="3525" t="s">
        <v>3049</v>
      </c>
      <c r="E86" s="3526" t="s">
        <v>3423</v>
      </c>
      <c r="F86" s="3525" t="s">
        <v>3228</v>
      </c>
      <c r="G86" s="3525" t="s">
        <v>3051</v>
      </c>
      <c r="H86" s="3526">
        <v>8151</v>
      </c>
      <c r="I86" s="3526">
        <v>24453</v>
      </c>
      <c r="J86" s="3526" t="s">
        <v>3366</v>
      </c>
      <c r="K86" s="3525" t="s">
        <v>3358</v>
      </c>
      <c r="L86" s="3526" t="s">
        <v>3404</v>
      </c>
      <c r="M86" s="3525" t="s">
        <v>3052</v>
      </c>
      <c r="N86" s="3525" t="s">
        <v>3053</v>
      </c>
      <c r="O86" s="3525" t="s">
        <v>3167</v>
      </c>
      <c r="P86" s="3525" t="s">
        <v>3056</v>
      </c>
      <c r="Q86" s="3525" t="s">
        <v>3056</v>
      </c>
      <c r="R86" s="3525" t="s">
        <v>3056</v>
      </c>
      <c r="S86" s="3525" t="s">
        <v>3056</v>
      </c>
      <c r="T86" s="3525" t="s">
        <v>3056</v>
      </c>
      <c r="U86" s="3525" t="s">
        <v>3056</v>
      </c>
      <c r="V86" s="3525" t="s">
        <v>3056</v>
      </c>
      <c r="W86" s="3525" t="s">
        <v>3056</v>
      </c>
      <c r="X86" s="3527">
        <v>43704.000497685185</v>
      </c>
      <c r="Y86" s="3527">
        <v>43725.000497685185</v>
      </c>
      <c r="Z86" s="3527">
        <v>43734.000497685185</v>
      </c>
      <c r="AA86" s="3528">
        <v>43734.000497685185</v>
      </c>
      <c r="AB86" s="3525" t="s">
        <v>3168</v>
      </c>
      <c r="AC86" s="3525" t="s">
        <v>3058</v>
      </c>
      <c r="AD86" s="3526" t="s">
        <v>3425</v>
      </c>
      <c r="AE86" s="3526" t="s">
        <v>2776</v>
      </c>
      <c r="AF86" s="3525">
        <v>5868.72</v>
      </c>
      <c r="AG86" s="3525">
        <v>1200</v>
      </c>
      <c r="AH86" s="3525">
        <v>5868.72</v>
      </c>
      <c r="AI86" s="3525">
        <v>480</v>
      </c>
      <c r="AJ86" s="3526">
        <v>480</v>
      </c>
      <c r="AK86" s="3525">
        <v>2400</v>
      </c>
      <c r="AL86" s="3526">
        <v>2400</v>
      </c>
      <c r="AM86" s="3525" t="s">
        <v>3056</v>
      </c>
      <c r="AN86" s="3525" t="s">
        <v>3056</v>
      </c>
      <c r="AO86" s="3526">
        <v>0</v>
      </c>
      <c r="AP86" s="3526" t="s">
        <v>3059</v>
      </c>
      <c r="AQ86" s="3526">
        <v>0</v>
      </c>
      <c r="AR86" s="3526">
        <v>0</v>
      </c>
    </row>
    <row r="87" spans="1:44" ht="14.25">
      <c r="A87" s="3525" t="s">
        <v>3229</v>
      </c>
      <c r="B87" s="3525">
        <v>2019037001</v>
      </c>
      <c r="C87" s="3525" t="s">
        <v>3048</v>
      </c>
      <c r="D87" s="3525" t="s">
        <v>3049</v>
      </c>
      <c r="E87" s="3525" t="s">
        <v>3382</v>
      </c>
      <c r="F87" s="3525" t="s">
        <v>3230</v>
      </c>
      <c r="G87" s="3525" t="s">
        <v>3051</v>
      </c>
      <c r="H87" s="3525">
        <v>49314</v>
      </c>
      <c r="I87" s="3525">
        <v>123778.14</v>
      </c>
      <c r="J87" s="3525" t="s">
        <v>3446</v>
      </c>
      <c r="K87" s="3525" t="s">
        <v>3358</v>
      </c>
      <c r="L87" s="3525" t="s">
        <v>3404</v>
      </c>
      <c r="M87" s="3525" t="s">
        <v>3052</v>
      </c>
      <c r="N87" s="3525" t="s">
        <v>3053</v>
      </c>
      <c r="O87" s="3525" t="s">
        <v>3231</v>
      </c>
      <c r="P87" s="3525" t="s">
        <v>3056</v>
      </c>
      <c r="Q87" s="3525" t="s">
        <v>3056</v>
      </c>
      <c r="R87" s="3525" t="s">
        <v>3056</v>
      </c>
      <c r="S87" s="3525" t="s">
        <v>3056</v>
      </c>
      <c r="T87" s="3525" t="s">
        <v>3056</v>
      </c>
      <c r="U87" s="3525" t="s">
        <v>3056</v>
      </c>
      <c r="V87" s="3525" t="s">
        <v>3056</v>
      </c>
      <c r="W87" s="3525" t="s">
        <v>3056</v>
      </c>
      <c r="X87" s="3527">
        <v>43692.000497685185</v>
      </c>
      <c r="Y87" s="3527">
        <v>43714.000497685185</v>
      </c>
      <c r="Z87" s="3527">
        <v>43724.000497685185</v>
      </c>
      <c r="AA87" s="3527">
        <v>43724.000497685185</v>
      </c>
      <c r="AB87" s="3525" t="s">
        <v>3168</v>
      </c>
      <c r="AC87" s="3525" t="s">
        <v>3058</v>
      </c>
      <c r="AD87" s="3525" t="s">
        <v>3430</v>
      </c>
      <c r="AE87" s="3525" t="s">
        <v>3447</v>
      </c>
      <c r="AF87" s="3525">
        <v>38622.720000000001</v>
      </c>
      <c r="AG87" s="3525">
        <v>10000</v>
      </c>
      <c r="AH87" s="3525">
        <v>40102.129999999997</v>
      </c>
      <c r="AI87" s="3525">
        <v>522.13</v>
      </c>
      <c r="AJ87" s="3525">
        <v>542.13</v>
      </c>
      <c r="AK87" s="3525">
        <v>3120</v>
      </c>
      <c r="AL87" s="3525">
        <v>3240</v>
      </c>
      <c r="AM87" s="3525" t="s">
        <v>3056</v>
      </c>
      <c r="AN87" s="3525" t="s">
        <v>3056</v>
      </c>
      <c r="AO87" s="3525">
        <v>3.83</v>
      </c>
      <c r="AP87" s="3525" t="s">
        <v>3059</v>
      </c>
      <c r="AQ87" s="3525">
        <v>0</v>
      </c>
      <c r="AR87" s="3525">
        <v>0</v>
      </c>
    </row>
    <row r="88" spans="1:44" s="3292" customFormat="1" ht="14.25" hidden="1" customHeight="1">
      <c r="A88" s="3526" t="s">
        <v>3232</v>
      </c>
      <c r="B88" s="3526">
        <v>2019034002</v>
      </c>
      <c r="C88" s="3525" t="s">
        <v>3048</v>
      </c>
      <c r="D88" s="3525" t="s">
        <v>3049</v>
      </c>
      <c r="E88" s="3526" t="s">
        <v>3365</v>
      </c>
      <c r="F88" s="3525" t="s">
        <v>3233</v>
      </c>
      <c r="G88" s="3525" t="s">
        <v>3051</v>
      </c>
      <c r="H88" s="3526">
        <v>67623.600000000006</v>
      </c>
      <c r="I88" s="3526">
        <v>87910.68</v>
      </c>
      <c r="J88" s="3526" t="s">
        <v>3448</v>
      </c>
      <c r="K88" s="3525" t="s">
        <v>3358</v>
      </c>
      <c r="L88" s="3526" t="s">
        <v>3404</v>
      </c>
      <c r="M88" s="3525" t="s">
        <v>3052</v>
      </c>
      <c r="N88" s="3525" t="s">
        <v>3053</v>
      </c>
      <c r="O88" s="3525" t="s">
        <v>3178</v>
      </c>
      <c r="P88" s="3525" t="s">
        <v>3056</v>
      </c>
      <c r="Q88" s="3525" t="s">
        <v>3056</v>
      </c>
      <c r="R88" s="3525" t="s">
        <v>3056</v>
      </c>
      <c r="S88" s="3525" t="s">
        <v>3056</v>
      </c>
      <c r="T88" s="3525" t="s">
        <v>3056</v>
      </c>
      <c r="U88" s="3525" t="s">
        <v>3056</v>
      </c>
      <c r="V88" s="3525" t="s">
        <v>3056</v>
      </c>
      <c r="W88" s="3525" t="s">
        <v>3056</v>
      </c>
      <c r="X88" s="3527">
        <v>43676.000497685185</v>
      </c>
      <c r="Y88" s="3527">
        <v>43698.000497685185</v>
      </c>
      <c r="Z88" s="3527">
        <v>43707.000497685185</v>
      </c>
      <c r="AA88" s="3528">
        <v>43707.000497685185</v>
      </c>
      <c r="AB88" s="3525" t="s">
        <v>3168</v>
      </c>
      <c r="AC88" s="3525" t="s">
        <v>3058</v>
      </c>
      <c r="AD88" s="3526" t="s">
        <v>3449</v>
      </c>
      <c r="AE88" s="3526" t="s">
        <v>2776</v>
      </c>
      <c r="AF88" s="3525">
        <v>5558.65</v>
      </c>
      <c r="AG88" s="3525">
        <v>1200</v>
      </c>
      <c r="AH88" s="3525">
        <v>5558.65</v>
      </c>
      <c r="AI88" s="3525">
        <v>54.8</v>
      </c>
      <c r="AJ88" s="3526">
        <v>54.8</v>
      </c>
      <c r="AK88" s="3525">
        <v>632</v>
      </c>
      <c r="AL88" s="3526">
        <v>632</v>
      </c>
      <c r="AM88" s="3525" t="s">
        <v>3056</v>
      </c>
      <c r="AN88" s="3525" t="s">
        <v>3056</v>
      </c>
      <c r="AO88" s="3526">
        <v>0</v>
      </c>
      <c r="AP88" s="3526" t="s">
        <v>3059</v>
      </c>
      <c r="AQ88" s="3526">
        <v>0</v>
      </c>
      <c r="AR88" s="3526">
        <v>0</v>
      </c>
    </row>
    <row r="89" spans="1:44" s="3292" customFormat="1" ht="14.25" hidden="1" customHeight="1">
      <c r="A89" s="3526" t="s">
        <v>3232</v>
      </c>
      <c r="B89" s="3526">
        <v>2019034001</v>
      </c>
      <c r="C89" s="3525" t="s">
        <v>3048</v>
      </c>
      <c r="D89" s="3525" t="s">
        <v>3049</v>
      </c>
      <c r="E89" s="3526" t="s">
        <v>3423</v>
      </c>
      <c r="F89" s="3525" t="s">
        <v>3233</v>
      </c>
      <c r="G89" s="3525" t="s">
        <v>3051</v>
      </c>
      <c r="H89" s="3526">
        <v>38555.199999999997</v>
      </c>
      <c r="I89" s="3526">
        <v>50121.760000000002</v>
      </c>
      <c r="J89" s="3526" t="s">
        <v>3448</v>
      </c>
      <c r="K89" s="3525" t="s">
        <v>3358</v>
      </c>
      <c r="L89" s="3526" t="s">
        <v>3404</v>
      </c>
      <c r="M89" s="3525" t="s">
        <v>3052</v>
      </c>
      <c r="N89" s="3525" t="s">
        <v>3053</v>
      </c>
      <c r="O89" s="3525" t="s">
        <v>3178</v>
      </c>
      <c r="P89" s="3525" t="s">
        <v>3056</v>
      </c>
      <c r="Q89" s="3525" t="s">
        <v>3056</v>
      </c>
      <c r="R89" s="3525" t="s">
        <v>3056</v>
      </c>
      <c r="S89" s="3525" t="s">
        <v>3056</v>
      </c>
      <c r="T89" s="3525" t="s">
        <v>3056</v>
      </c>
      <c r="U89" s="3525" t="s">
        <v>3056</v>
      </c>
      <c r="V89" s="3525" t="s">
        <v>3056</v>
      </c>
      <c r="W89" s="3525" t="s">
        <v>3056</v>
      </c>
      <c r="X89" s="3527">
        <v>43676.000497685185</v>
      </c>
      <c r="Y89" s="3527">
        <v>43698.000497685185</v>
      </c>
      <c r="Z89" s="3527">
        <v>43707.000497685185</v>
      </c>
      <c r="AA89" s="3528">
        <v>43707.000497685185</v>
      </c>
      <c r="AB89" s="3525" t="s">
        <v>3168</v>
      </c>
      <c r="AC89" s="3525" t="s">
        <v>3058</v>
      </c>
      <c r="AD89" s="3526" t="s">
        <v>3449</v>
      </c>
      <c r="AE89" s="3526" t="s">
        <v>2776</v>
      </c>
      <c r="AF89" s="3525">
        <v>3385.15</v>
      </c>
      <c r="AG89" s="3525">
        <v>700</v>
      </c>
      <c r="AH89" s="3525">
        <v>3385.15</v>
      </c>
      <c r="AI89" s="3525">
        <v>58.53</v>
      </c>
      <c r="AJ89" s="3526">
        <v>58.53</v>
      </c>
      <c r="AK89" s="3525">
        <v>675</v>
      </c>
      <c r="AL89" s="3526">
        <v>675</v>
      </c>
      <c r="AM89" s="3525" t="s">
        <v>3056</v>
      </c>
      <c r="AN89" s="3525" t="s">
        <v>3056</v>
      </c>
      <c r="AO89" s="3526">
        <v>0</v>
      </c>
      <c r="AP89" s="3526" t="s">
        <v>3059</v>
      </c>
      <c r="AQ89" s="3526">
        <v>0</v>
      </c>
      <c r="AR89" s="3526">
        <v>0</v>
      </c>
    </row>
    <row r="90" spans="1:44" s="3292" customFormat="1" ht="14.25" hidden="1" customHeight="1">
      <c r="A90" s="3526" t="s">
        <v>3232</v>
      </c>
      <c r="B90" s="3526">
        <v>2019034003</v>
      </c>
      <c r="C90" s="3525" t="s">
        <v>3048</v>
      </c>
      <c r="D90" s="3525" t="s">
        <v>3049</v>
      </c>
      <c r="E90" s="3526" t="s">
        <v>3365</v>
      </c>
      <c r="F90" s="3525" t="s">
        <v>3233</v>
      </c>
      <c r="G90" s="3525" t="s">
        <v>3051</v>
      </c>
      <c r="H90" s="3526">
        <v>39929.300000000003</v>
      </c>
      <c r="I90" s="3526">
        <v>51908.09</v>
      </c>
      <c r="J90" s="3526" t="s">
        <v>3448</v>
      </c>
      <c r="K90" s="3525" t="s">
        <v>3358</v>
      </c>
      <c r="L90" s="3526" t="s">
        <v>3404</v>
      </c>
      <c r="M90" s="3525" t="s">
        <v>3052</v>
      </c>
      <c r="N90" s="3525" t="s">
        <v>3053</v>
      </c>
      <c r="O90" s="3525" t="s">
        <v>3178</v>
      </c>
      <c r="P90" s="3525" t="s">
        <v>3056</v>
      </c>
      <c r="Q90" s="3525" t="s">
        <v>3056</v>
      </c>
      <c r="R90" s="3525" t="s">
        <v>3056</v>
      </c>
      <c r="S90" s="3525" t="s">
        <v>3056</v>
      </c>
      <c r="T90" s="3525" t="s">
        <v>3056</v>
      </c>
      <c r="U90" s="3525" t="s">
        <v>3056</v>
      </c>
      <c r="V90" s="3525" t="s">
        <v>3056</v>
      </c>
      <c r="W90" s="3525" t="s">
        <v>3056</v>
      </c>
      <c r="X90" s="3527">
        <v>43676.000497685185</v>
      </c>
      <c r="Y90" s="3527">
        <v>43698.000497685185</v>
      </c>
      <c r="Z90" s="3527">
        <v>43707.000497685185</v>
      </c>
      <c r="AA90" s="3528">
        <v>43707.000497685185</v>
      </c>
      <c r="AB90" s="3525" t="s">
        <v>3168</v>
      </c>
      <c r="AC90" s="3525" t="s">
        <v>3058</v>
      </c>
      <c r="AD90" s="3526" t="s">
        <v>3449</v>
      </c>
      <c r="AE90" s="3526" t="s">
        <v>2776</v>
      </c>
      <c r="AF90" s="3525">
        <v>3246.25</v>
      </c>
      <c r="AG90" s="3525">
        <v>700</v>
      </c>
      <c r="AH90" s="3525">
        <v>3246.25</v>
      </c>
      <c r="AI90" s="3525">
        <v>54.2</v>
      </c>
      <c r="AJ90" s="3526">
        <v>54.2</v>
      </c>
      <c r="AK90" s="3525">
        <v>625</v>
      </c>
      <c r="AL90" s="3526">
        <v>625</v>
      </c>
      <c r="AM90" s="3525" t="s">
        <v>3056</v>
      </c>
      <c r="AN90" s="3525" t="s">
        <v>3056</v>
      </c>
      <c r="AO90" s="3526">
        <v>0</v>
      </c>
      <c r="AP90" s="3526" t="s">
        <v>3059</v>
      </c>
      <c r="AQ90" s="3526">
        <v>0</v>
      </c>
      <c r="AR90" s="3526">
        <v>0</v>
      </c>
    </row>
    <row r="91" spans="1:44" ht="14.25">
      <c r="A91" s="3525" t="s">
        <v>3234</v>
      </c>
      <c r="B91" s="3525">
        <v>2019033001</v>
      </c>
      <c r="C91" s="3525" t="s">
        <v>3048</v>
      </c>
      <c r="D91" s="3525" t="s">
        <v>3049</v>
      </c>
      <c r="E91" s="3525" t="s">
        <v>3356</v>
      </c>
      <c r="F91" s="3525" t="s">
        <v>3235</v>
      </c>
      <c r="G91" s="3525" t="s">
        <v>3051</v>
      </c>
      <c r="H91" s="3525">
        <v>49768</v>
      </c>
      <c r="I91" s="3525">
        <v>84605.6</v>
      </c>
      <c r="J91" s="3525" t="s">
        <v>3434</v>
      </c>
      <c r="K91" s="3525" t="s">
        <v>3358</v>
      </c>
      <c r="L91" s="3525" t="s">
        <v>3404</v>
      </c>
      <c r="M91" s="3525" t="s">
        <v>3052</v>
      </c>
      <c r="N91" s="3525" t="s">
        <v>3053</v>
      </c>
      <c r="O91" s="3525" t="s">
        <v>3148</v>
      </c>
      <c r="P91" s="3525" t="s">
        <v>3056</v>
      </c>
      <c r="Q91" s="3525" t="s">
        <v>3056</v>
      </c>
      <c r="R91" s="3525" t="s">
        <v>3056</v>
      </c>
      <c r="S91" s="3525" t="s">
        <v>3056</v>
      </c>
      <c r="T91" s="3525" t="s">
        <v>3056</v>
      </c>
      <c r="U91" s="3525" t="s">
        <v>3056</v>
      </c>
      <c r="V91" s="3525" t="s">
        <v>3056</v>
      </c>
      <c r="W91" s="3525" t="s">
        <v>3056</v>
      </c>
      <c r="X91" s="3527">
        <v>43673.000497685185</v>
      </c>
      <c r="Y91" s="3527">
        <v>43693.000497685185</v>
      </c>
      <c r="Z91" s="3527">
        <v>43703.000497685185</v>
      </c>
      <c r="AA91" s="3527">
        <v>43703.000497685185</v>
      </c>
      <c r="AB91" s="3525" t="s">
        <v>3168</v>
      </c>
      <c r="AC91" s="3525" t="s">
        <v>3058</v>
      </c>
      <c r="AD91" s="3525" t="s">
        <v>3450</v>
      </c>
      <c r="AE91" s="3525" t="s">
        <v>2776</v>
      </c>
      <c r="AF91" s="3525">
        <v>9361.36</v>
      </c>
      <c r="AG91" s="3525">
        <v>2000</v>
      </c>
      <c r="AH91" s="3525">
        <v>14288.38</v>
      </c>
      <c r="AI91" s="3525">
        <v>125.4</v>
      </c>
      <c r="AJ91" s="3525">
        <v>191.4</v>
      </c>
      <c r="AK91" s="3525">
        <v>1106</v>
      </c>
      <c r="AL91" s="3525">
        <v>1689</v>
      </c>
      <c r="AM91" s="3525" t="s">
        <v>3056</v>
      </c>
      <c r="AN91" s="3525" t="s">
        <v>3056</v>
      </c>
      <c r="AO91" s="3525">
        <v>52.63</v>
      </c>
      <c r="AP91" s="3525" t="s">
        <v>3059</v>
      </c>
      <c r="AQ91" s="3525">
        <v>0</v>
      </c>
      <c r="AR91" s="3525">
        <v>0</v>
      </c>
    </row>
    <row r="92" spans="1:44" s="3292" customFormat="1" ht="14.25" hidden="1" customHeight="1">
      <c r="A92" s="3526" t="s">
        <v>3150</v>
      </c>
      <c r="B92" s="3526">
        <v>2019031001</v>
      </c>
      <c r="C92" s="3525" t="s">
        <v>3048</v>
      </c>
      <c r="D92" s="3525" t="s">
        <v>3049</v>
      </c>
      <c r="E92" s="3526" t="s">
        <v>3411</v>
      </c>
      <c r="F92" s="3525" t="s">
        <v>3151</v>
      </c>
      <c r="G92" s="3525" t="s">
        <v>3051</v>
      </c>
      <c r="H92" s="3526">
        <v>29999</v>
      </c>
      <c r="I92" s="3526">
        <v>98996.7</v>
      </c>
      <c r="J92" s="3526" t="s">
        <v>3451</v>
      </c>
      <c r="K92" s="3525" t="s">
        <v>3358</v>
      </c>
      <c r="L92" s="3526" t="s">
        <v>3404</v>
      </c>
      <c r="M92" s="3525" t="s">
        <v>3052</v>
      </c>
      <c r="N92" s="3525" t="s">
        <v>3053</v>
      </c>
      <c r="O92" s="3525" t="s">
        <v>3064</v>
      </c>
      <c r="P92" s="3525" t="s">
        <v>3056</v>
      </c>
      <c r="Q92" s="3525" t="s">
        <v>3056</v>
      </c>
      <c r="R92" s="3525" t="s">
        <v>3056</v>
      </c>
      <c r="S92" s="3525" t="s">
        <v>3056</v>
      </c>
      <c r="T92" s="3525" t="s">
        <v>3056</v>
      </c>
      <c r="U92" s="3525" t="s">
        <v>3056</v>
      </c>
      <c r="V92" s="3525" t="s">
        <v>3056</v>
      </c>
      <c r="W92" s="3525" t="s">
        <v>3056</v>
      </c>
      <c r="X92" s="3527">
        <v>43650.000497685185</v>
      </c>
      <c r="Y92" s="3527">
        <v>43672.000497685185</v>
      </c>
      <c r="Z92" s="3527">
        <v>43682.000497685185</v>
      </c>
      <c r="AA92" s="3528">
        <v>43682.000497685185</v>
      </c>
      <c r="AB92" s="3525" t="s">
        <v>3168</v>
      </c>
      <c r="AC92" s="3525" t="s">
        <v>3058</v>
      </c>
      <c r="AD92" s="3526" t="s">
        <v>3412</v>
      </c>
      <c r="AE92" s="3526" t="s">
        <v>3413</v>
      </c>
      <c r="AF92" s="3525">
        <v>17999.400000000001</v>
      </c>
      <c r="AG92" s="3525">
        <v>3600</v>
      </c>
      <c r="AH92" s="3525">
        <v>17999.400000000001</v>
      </c>
      <c r="AI92" s="3525">
        <v>400</v>
      </c>
      <c r="AJ92" s="3526">
        <v>400</v>
      </c>
      <c r="AK92" s="3525">
        <v>1818</v>
      </c>
      <c r="AL92" s="3526">
        <v>1818</v>
      </c>
      <c r="AM92" s="3525" t="s">
        <v>3056</v>
      </c>
      <c r="AN92" s="3525" t="s">
        <v>3056</v>
      </c>
      <c r="AO92" s="3526">
        <v>0</v>
      </c>
      <c r="AP92" s="3526" t="s">
        <v>3059</v>
      </c>
      <c r="AQ92" s="3526">
        <v>0</v>
      </c>
      <c r="AR92" s="3526">
        <v>0</v>
      </c>
    </row>
    <row r="93" spans="1:44" s="3292" customFormat="1" ht="14.25" hidden="1" customHeight="1">
      <c r="A93" s="3526" t="s">
        <v>3150</v>
      </c>
      <c r="B93" s="3526">
        <v>2019031002</v>
      </c>
      <c r="C93" s="3525" t="s">
        <v>3048</v>
      </c>
      <c r="D93" s="3525" t="s">
        <v>3049</v>
      </c>
      <c r="E93" s="3526" t="s">
        <v>3411</v>
      </c>
      <c r="F93" s="3525" t="s">
        <v>3151</v>
      </c>
      <c r="G93" s="3525" t="s">
        <v>3051</v>
      </c>
      <c r="H93" s="3526">
        <v>30000</v>
      </c>
      <c r="I93" s="3526">
        <v>99000</v>
      </c>
      <c r="J93" s="3526" t="s">
        <v>3451</v>
      </c>
      <c r="K93" s="3525" t="s">
        <v>3358</v>
      </c>
      <c r="L93" s="3526" t="s">
        <v>3404</v>
      </c>
      <c r="M93" s="3525" t="s">
        <v>3052</v>
      </c>
      <c r="N93" s="3525" t="s">
        <v>3053</v>
      </c>
      <c r="O93" s="3525" t="s">
        <v>3064</v>
      </c>
      <c r="P93" s="3525" t="s">
        <v>3056</v>
      </c>
      <c r="Q93" s="3525" t="s">
        <v>3056</v>
      </c>
      <c r="R93" s="3525" t="s">
        <v>3056</v>
      </c>
      <c r="S93" s="3525" t="s">
        <v>3056</v>
      </c>
      <c r="T93" s="3525" t="s">
        <v>3056</v>
      </c>
      <c r="U93" s="3525" t="s">
        <v>3056</v>
      </c>
      <c r="V93" s="3525" t="s">
        <v>3056</v>
      </c>
      <c r="W93" s="3525" t="s">
        <v>3056</v>
      </c>
      <c r="X93" s="3527">
        <v>43650.000497685185</v>
      </c>
      <c r="Y93" s="3527">
        <v>43672.000497685185</v>
      </c>
      <c r="Z93" s="3527">
        <v>43682.000497685185</v>
      </c>
      <c r="AA93" s="3528">
        <v>43682.000497685185</v>
      </c>
      <c r="AB93" s="3525" t="s">
        <v>3168</v>
      </c>
      <c r="AC93" s="3525" t="s">
        <v>3058</v>
      </c>
      <c r="AD93" s="3526" t="s">
        <v>3412</v>
      </c>
      <c r="AE93" s="3526" t="s">
        <v>3413</v>
      </c>
      <c r="AF93" s="3525">
        <v>18000</v>
      </c>
      <c r="AG93" s="3525">
        <v>3600</v>
      </c>
      <c r="AH93" s="3525">
        <v>18000</v>
      </c>
      <c r="AI93" s="3525">
        <v>400</v>
      </c>
      <c r="AJ93" s="3526">
        <v>400</v>
      </c>
      <c r="AK93" s="3525">
        <v>1818</v>
      </c>
      <c r="AL93" s="3526">
        <v>1818</v>
      </c>
      <c r="AM93" s="3525" t="s">
        <v>3056</v>
      </c>
      <c r="AN93" s="3525" t="s">
        <v>3056</v>
      </c>
      <c r="AO93" s="3526">
        <v>0</v>
      </c>
      <c r="AP93" s="3526" t="s">
        <v>3059</v>
      </c>
      <c r="AQ93" s="3526">
        <v>0</v>
      </c>
      <c r="AR93" s="3526">
        <v>0</v>
      </c>
    </row>
    <row r="94" spans="1:44" ht="14.25">
      <c r="A94" s="3525" t="s">
        <v>3236</v>
      </c>
      <c r="B94" s="3525">
        <v>2019027001</v>
      </c>
      <c r="C94" s="3525" t="s">
        <v>3048</v>
      </c>
      <c r="D94" s="3525" t="s">
        <v>3049</v>
      </c>
      <c r="E94" s="3525" t="s">
        <v>3356</v>
      </c>
      <c r="F94" s="3525" t="s">
        <v>3237</v>
      </c>
      <c r="G94" s="3525" t="s">
        <v>3051</v>
      </c>
      <c r="H94" s="3525">
        <v>1967.6</v>
      </c>
      <c r="I94" s="3525">
        <v>6296.32</v>
      </c>
      <c r="J94" s="3525" t="s">
        <v>3452</v>
      </c>
      <c r="K94" s="3525" t="s">
        <v>3358</v>
      </c>
      <c r="L94" s="3525" t="s">
        <v>3404</v>
      </c>
      <c r="M94" s="3525" t="s">
        <v>3052</v>
      </c>
      <c r="N94" s="3525" t="s">
        <v>3053</v>
      </c>
      <c r="O94" s="3525" t="s">
        <v>3238</v>
      </c>
      <c r="P94" s="3525" t="s">
        <v>3056</v>
      </c>
      <c r="Q94" s="3525" t="s">
        <v>3056</v>
      </c>
      <c r="R94" s="3525" t="s">
        <v>3056</v>
      </c>
      <c r="S94" s="3525" t="s">
        <v>3056</v>
      </c>
      <c r="T94" s="3525" t="s">
        <v>3056</v>
      </c>
      <c r="U94" s="3525" t="s">
        <v>3056</v>
      </c>
      <c r="V94" s="3525" t="s">
        <v>3056</v>
      </c>
      <c r="W94" s="3525" t="s">
        <v>3056</v>
      </c>
      <c r="X94" s="3527">
        <v>43621.000497685185</v>
      </c>
      <c r="Y94" s="3527">
        <v>43644.000497685185</v>
      </c>
      <c r="Z94" s="3527">
        <v>43654.000497685185</v>
      </c>
      <c r="AA94" s="3527">
        <v>43654.000497685185</v>
      </c>
      <c r="AB94" s="3525" t="s">
        <v>3239</v>
      </c>
      <c r="AC94" s="3525" t="s">
        <v>3058</v>
      </c>
      <c r="AD94" s="3525" t="s">
        <v>3360</v>
      </c>
      <c r="AE94" s="3525" t="s">
        <v>3420</v>
      </c>
      <c r="AF94" s="3525">
        <v>1416.67</v>
      </c>
      <c r="AG94" s="3525">
        <v>300</v>
      </c>
      <c r="AH94" s="3525">
        <v>1416.67</v>
      </c>
      <c r="AI94" s="3525">
        <v>480</v>
      </c>
      <c r="AJ94" s="3525">
        <v>480</v>
      </c>
      <c r="AK94" s="3525">
        <v>2250</v>
      </c>
      <c r="AL94" s="3525">
        <v>2250</v>
      </c>
      <c r="AM94" s="3525" t="s">
        <v>3056</v>
      </c>
      <c r="AN94" s="3525" t="s">
        <v>3056</v>
      </c>
      <c r="AO94" s="3525">
        <v>0</v>
      </c>
      <c r="AP94" s="3525" t="s">
        <v>3059</v>
      </c>
      <c r="AQ94" s="3525">
        <v>0</v>
      </c>
      <c r="AR94" s="3525">
        <v>0</v>
      </c>
    </row>
    <row r="95" spans="1:44" ht="14.25">
      <c r="A95" s="3525" t="s">
        <v>3240</v>
      </c>
      <c r="B95" s="3525">
        <v>2019027002</v>
      </c>
      <c r="C95" s="3525" t="s">
        <v>3048</v>
      </c>
      <c r="D95" s="3525" t="s">
        <v>3049</v>
      </c>
      <c r="E95" s="3525" t="s">
        <v>3356</v>
      </c>
      <c r="F95" s="3525" t="s">
        <v>3241</v>
      </c>
      <c r="G95" s="3525" t="s">
        <v>3051</v>
      </c>
      <c r="H95" s="3525">
        <v>3469.93</v>
      </c>
      <c r="I95" s="3525">
        <v>11103.78</v>
      </c>
      <c r="J95" s="3525" t="s">
        <v>3452</v>
      </c>
      <c r="K95" s="3525" t="s">
        <v>3358</v>
      </c>
      <c r="L95" s="3525" t="s">
        <v>3404</v>
      </c>
      <c r="M95" s="3525" t="s">
        <v>3052</v>
      </c>
      <c r="N95" s="3525" t="s">
        <v>3053</v>
      </c>
      <c r="O95" s="3525" t="s">
        <v>3238</v>
      </c>
      <c r="P95" s="3525" t="s">
        <v>3056</v>
      </c>
      <c r="Q95" s="3525" t="s">
        <v>3056</v>
      </c>
      <c r="R95" s="3525" t="s">
        <v>3056</v>
      </c>
      <c r="S95" s="3525" t="s">
        <v>3056</v>
      </c>
      <c r="T95" s="3525" t="s">
        <v>3056</v>
      </c>
      <c r="U95" s="3525" t="s">
        <v>3056</v>
      </c>
      <c r="V95" s="3525" t="s">
        <v>3056</v>
      </c>
      <c r="W95" s="3525" t="s">
        <v>3056</v>
      </c>
      <c r="X95" s="3527">
        <v>43621.000497685185</v>
      </c>
      <c r="Y95" s="3527">
        <v>43644.000497685185</v>
      </c>
      <c r="Z95" s="3527">
        <v>43654.000497685185</v>
      </c>
      <c r="AA95" s="3527">
        <v>43654.000497685185</v>
      </c>
      <c r="AB95" s="3525" t="s">
        <v>3242</v>
      </c>
      <c r="AC95" s="3525" t="s">
        <v>3058</v>
      </c>
      <c r="AD95" s="3525" t="s">
        <v>3360</v>
      </c>
      <c r="AE95" s="3525" t="s">
        <v>3420</v>
      </c>
      <c r="AF95" s="3525">
        <v>2498.34</v>
      </c>
      <c r="AG95" s="3525">
        <v>500</v>
      </c>
      <c r="AH95" s="3525">
        <v>2498.34</v>
      </c>
      <c r="AI95" s="3525">
        <v>480</v>
      </c>
      <c r="AJ95" s="3525">
        <v>480</v>
      </c>
      <c r="AK95" s="3525">
        <v>2250</v>
      </c>
      <c r="AL95" s="3525">
        <v>2250</v>
      </c>
      <c r="AM95" s="3525" t="s">
        <v>3056</v>
      </c>
      <c r="AN95" s="3525" t="s">
        <v>3056</v>
      </c>
      <c r="AO95" s="3525">
        <v>0</v>
      </c>
      <c r="AP95" s="3525" t="s">
        <v>3059</v>
      </c>
      <c r="AQ95" s="3525">
        <v>0</v>
      </c>
      <c r="AR95" s="3525">
        <v>0</v>
      </c>
    </row>
    <row r="96" spans="1:44" ht="14.25">
      <c r="A96" s="3525" t="s">
        <v>3243</v>
      </c>
      <c r="B96" s="3525">
        <v>2019026001</v>
      </c>
      <c r="C96" s="3525" t="s">
        <v>3048</v>
      </c>
      <c r="D96" s="3525" t="s">
        <v>3049</v>
      </c>
      <c r="E96" s="3525" t="s">
        <v>3369</v>
      </c>
      <c r="F96" s="3525" t="s">
        <v>3244</v>
      </c>
      <c r="G96" s="3525" t="s">
        <v>3051</v>
      </c>
      <c r="H96" s="3525">
        <v>39904</v>
      </c>
      <c r="I96" s="3525">
        <v>111731.2</v>
      </c>
      <c r="J96" s="3525" t="s">
        <v>3453</v>
      </c>
      <c r="K96" s="3525" t="s">
        <v>3358</v>
      </c>
      <c r="L96" s="3525" t="s">
        <v>3404</v>
      </c>
      <c r="M96" s="3525" t="s">
        <v>3052</v>
      </c>
      <c r="N96" s="3525" t="s">
        <v>3053</v>
      </c>
      <c r="O96" s="3525" t="s">
        <v>3245</v>
      </c>
      <c r="P96" s="3525" t="s">
        <v>3056</v>
      </c>
      <c r="Q96" s="3525" t="s">
        <v>3056</v>
      </c>
      <c r="R96" s="3525" t="s">
        <v>3056</v>
      </c>
      <c r="S96" s="3525" t="s">
        <v>3056</v>
      </c>
      <c r="T96" s="3525" t="s">
        <v>3056</v>
      </c>
      <c r="U96" s="3525" t="s">
        <v>3056</v>
      </c>
      <c r="V96" s="3525" t="s">
        <v>3056</v>
      </c>
      <c r="W96" s="3525" t="s">
        <v>3056</v>
      </c>
      <c r="X96" s="3527">
        <v>43613.000497685185</v>
      </c>
      <c r="Y96" s="3527">
        <v>43633.000497685185</v>
      </c>
      <c r="Z96" s="3527">
        <v>43642.000497685185</v>
      </c>
      <c r="AA96" s="3527">
        <v>43642.000497685185</v>
      </c>
      <c r="AB96" s="3525" t="s">
        <v>3246</v>
      </c>
      <c r="AC96" s="3525" t="s">
        <v>3058</v>
      </c>
      <c r="AD96" s="3525" t="s">
        <v>3454</v>
      </c>
      <c r="AE96" s="3525" t="s">
        <v>2776</v>
      </c>
      <c r="AF96" s="3525">
        <v>14664.71</v>
      </c>
      <c r="AG96" s="3525">
        <v>3000</v>
      </c>
      <c r="AH96" s="3525">
        <v>14664.71</v>
      </c>
      <c r="AI96" s="3525">
        <v>245</v>
      </c>
      <c r="AJ96" s="3525">
        <v>245</v>
      </c>
      <c r="AK96" s="3525">
        <v>1313</v>
      </c>
      <c r="AL96" s="3525">
        <v>1313</v>
      </c>
      <c r="AM96" s="3525" t="s">
        <v>3056</v>
      </c>
      <c r="AN96" s="3525" t="s">
        <v>3056</v>
      </c>
      <c r="AO96" s="3525">
        <v>0</v>
      </c>
      <c r="AP96" s="3525" t="s">
        <v>3059</v>
      </c>
      <c r="AQ96" s="3525">
        <v>0</v>
      </c>
      <c r="AR96" s="3525">
        <v>0</v>
      </c>
    </row>
    <row r="97" spans="1:44" s="3292" customFormat="1" ht="14.25" hidden="1" customHeight="1">
      <c r="A97" s="3526" t="s">
        <v>3247</v>
      </c>
      <c r="B97" s="3526">
        <v>2019025001</v>
      </c>
      <c r="C97" s="3525" t="s">
        <v>3048</v>
      </c>
      <c r="D97" s="3525" t="s">
        <v>3049</v>
      </c>
      <c r="E97" s="3526" t="s">
        <v>3378</v>
      </c>
      <c r="F97" s="3525" t="s">
        <v>3248</v>
      </c>
      <c r="G97" s="3525" t="s">
        <v>3051</v>
      </c>
      <c r="H97" s="3526">
        <v>55098</v>
      </c>
      <c r="I97" s="3526">
        <v>60607.8</v>
      </c>
      <c r="J97" s="3526" t="s">
        <v>3455</v>
      </c>
      <c r="K97" s="3525" t="s">
        <v>3358</v>
      </c>
      <c r="L97" s="3526" t="s">
        <v>3404</v>
      </c>
      <c r="M97" s="3525" t="s">
        <v>3052</v>
      </c>
      <c r="N97" s="3525" t="s">
        <v>3053</v>
      </c>
      <c r="O97" s="3525" t="s">
        <v>3056</v>
      </c>
      <c r="P97" s="3525" t="s">
        <v>3056</v>
      </c>
      <c r="Q97" s="3525" t="s">
        <v>3056</v>
      </c>
      <c r="R97" s="3525" t="s">
        <v>3056</v>
      </c>
      <c r="S97" s="3525" t="s">
        <v>3056</v>
      </c>
      <c r="T97" s="3525" t="s">
        <v>3056</v>
      </c>
      <c r="U97" s="3525" t="s">
        <v>3056</v>
      </c>
      <c r="V97" s="3525" t="s">
        <v>3056</v>
      </c>
      <c r="W97" s="3525" t="s">
        <v>3056</v>
      </c>
      <c r="X97" s="3527">
        <v>43600.000497685185</v>
      </c>
      <c r="Y97" s="3527">
        <v>43621.000497685185</v>
      </c>
      <c r="Z97" s="3527">
        <v>43630.000497685185</v>
      </c>
      <c r="AA97" s="3528">
        <v>43630.000497685185</v>
      </c>
      <c r="AB97" s="3525" t="s">
        <v>3249</v>
      </c>
      <c r="AC97" s="3525" t="s">
        <v>3058</v>
      </c>
      <c r="AD97" s="3526" t="s">
        <v>3380</v>
      </c>
      <c r="AE97" s="3526" t="s">
        <v>2776</v>
      </c>
      <c r="AF97" s="3525">
        <v>2892.65</v>
      </c>
      <c r="AG97" s="3525">
        <v>600</v>
      </c>
      <c r="AH97" s="3525">
        <v>2892.65</v>
      </c>
      <c r="AI97" s="3525">
        <v>35</v>
      </c>
      <c r="AJ97" s="3526">
        <v>35</v>
      </c>
      <c r="AK97" s="3525">
        <v>477</v>
      </c>
      <c r="AL97" s="3526">
        <v>477</v>
      </c>
      <c r="AM97" s="3525" t="s">
        <v>3056</v>
      </c>
      <c r="AN97" s="3525" t="s">
        <v>3056</v>
      </c>
      <c r="AO97" s="3526">
        <v>0</v>
      </c>
      <c r="AP97" s="3526" t="s">
        <v>3059</v>
      </c>
      <c r="AQ97" s="3526">
        <v>0</v>
      </c>
      <c r="AR97" s="3526">
        <v>0</v>
      </c>
    </row>
    <row r="98" spans="1:44" s="3292" customFormat="1" ht="14.25" hidden="1" customHeight="1">
      <c r="A98" s="3526" t="s">
        <v>3250</v>
      </c>
      <c r="B98" s="3526">
        <v>2019017002</v>
      </c>
      <c r="C98" s="3525" t="s">
        <v>3048</v>
      </c>
      <c r="D98" s="3525" t="s">
        <v>3049</v>
      </c>
      <c r="E98" s="3526" t="s">
        <v>3403</v>
      </c>
      <c r="F98" s="3525" t="s">
        <v>3251</v>
      </c>
      <c r="G98" s="3525" t="s">
        <v>3051</v>
      </c>
      <c r="H98" s="3526">
        <v>16487</v>
      </c>
      <c r="I98" s="3526">
        <v>49461</v>
      </c>
      <c r="J98" s="3526" t="s">
        <v>3456</v>
      </c>
      <c r="K98" s="3525" t="s">
        <v>3358</v>
      </c>
      <c r="L98" s="3526" t="s">
        <v>3404</v>
      </c>
      <c r="M98" s="3525" t="s">
        <v>3052</v>
      </c>
      <c r="N98" s="3525" t="s">
        <v>3053</v>
      </c>
      <c r="O98" s="3525" t="s">
        <v>3056</v>
      </c>
      <c r="P98" s="3525" t="s">
        <v>3056</v>
      </c>
      <c r="Q98" s="3525" t="s">
        <v>3056</v>
      </c>
      <c r="R98" s="3525" t="s">
        <v>3056</v>
      </c>
      <c r="S98" s="3525" t="s">
        <v>3056</v>
      </c>
      <c r="T98" s="3525" t="s">
        <v>3056</v>
      </c>
      <c r="U98" s="3525" t="s">
        <v>3056</v>
      </c>
      <c r="V98" s="3525" t="s">
        <v>3056</v>
      </c>
      <c r="W98" s="3525" t="s">
        <v>3056</v>
      </c>
      <c r="X98" s="3527">
        <v>43525.000497685185</v>
      </c>
      <c r="Y98" s="3527">
        <v>43545.000497685185</v>
      </c>
      <c r="Z98" s="3527">
        <v>43554.000497685185</v>
      </c>
      <c r="AA98" s="3528">
        <v>43554.000497685185</v>
      </c>
      <c r="AB98" s="3525" t="s">
        <v>3252</v>
      </c>
      <c r="AC98" s="3525" t="s">
        <v>3058</v>
      </c>
      <c r="AD98" s="3526" t="s">
        <v>3457</v>
      </c>
      <c r="AE98" s="3526" t="s">
        <v>2776</v>
      </c>
      <c r="AF98" s="3525">
        <v>12117.95</v>
      </c>
      <c r="AG98" s="3525">
        <v>2500</v>
      </c>
      <c r="AH98" s="3525">
        <v>12117.95</v>
      </c>
      <c r="AI98" s="3525">
        <v>490</v>
      </c>
      <c r="AJ98" s="3526">
        <v>490</v>
      </c>
      <c r="AK98" s="3525">
        <v>2450</v>
      </c>
      <c r="AL98" s="3526">
        <v>2450</v>
      </c>
      <c r="AM98" s="3525" t="s">
        <v>3056</v>
      </c>
      <c r="AN98" s="3525" t="s">
        <v>3056</v>
      </c>
      <c r="AO98" s="3526">
        <v>0</v>
      </c>
      <c r="AP98" s="3526" t="s">
        <v>3059</v>
      </c>
      <c r="AQ98" s="3526">
        <v>0</v>
      </c>
      <c r="AR98" s="3526">
        <v>0</v>
      </c>
    </row>
    <row r="99" spans="1:44" s="3292" customFormat="1" ht="14.25" hidden="1" customHeight="1">
      <c r="A99" s="3526" t="s">
        <v>3253</v>
      </c>
      <c r="B99" s="3526">
        <v>2019017001</v>
      </c>
      <c r="C99" s="3525" t="s">
        <v>3048</v>
      </c>
      <c r="D99" s="3525" t="s">
        <v>3049</v>
      </c>
      <c r="E99" s="3526" t="s">
        <v>3485</v>
      </c>
      <c r="F99" s="3525" t="s">
        <v>3254</v>
      </c>
      <c r="G99" s="3525" t="s">
        <v>3051</v>
      </c>
      <c r="H99" s="3526">
        <v>11034</v>
      </c>
      <c r="I99" s="3526">
        <v>33102</v>
      </c>
      <c r="J99" s="3526" t="s">
        <v>3456</v>
      </c>
      <c r="K99" s="3525" t="s">
        <v>3358</v>
      </c>
      <c r="L99" s="3526" t="s">
        <v>3404</v>
      </c>
      <c r="M99" s="3525" t="s">
        <v>3052</v>
      </c>
      <c r="N99" s="3525" t="s">
        <v>3053</v>
      </c>
      <c r="O99" s="3525" t="s">
        <v>3056</v>
      </c>
      <c r="P99" s="3525" t="s">
        <v>3056</v>
      </c>
      <c r="Q99" s="3525" t="s">
        <v>3056</v>
      </c>
      <c r="R99" s="3525" t="s">
        <v>3056</v>
      </c>
      <c r="S99" s="3525" t="s">
        <v>3056</v>
      </c>
      <c r="T99" s="3525" t="s">
        <v>3056</v>
      </c>
      <c r="U99" s="3525" t="s">
        <v>3056</v>
      </c>
      <c r="V99" s="3525" t="s">
        <v>3056</v>
      </c>
      <c r="W99" s="3525" t="s">
        <v>3056</v>
      </c>
      <c r="X99" s="3527">
        <v>43525.000497685185</v>
      </c>
      <c r="Y99" s="3527">
        <v>43545.000497685185</v>
      </c>
      <c r="Z99" s="3527">
        <v>43554.000497685185</v>
      </c>
      <c r="AA99" s="3528">
        <v>43554.000497685185</v>
      </c>
      <c r="AB99" s="3525" t="s">
        <v>3255</v>
      </c>
      <c r="AC99" s="3525" t="s">
        <v>3058</v>
      </c>
      <c r="AD99" s="3526" t="s">
        <v>3457</v>
      </c>
      <c r="AE99" s="3526" t="s">
        <v>2776</v>
      </c>
      <c r="AF99" s="3525">
        <v>8109.98</v>
      </c>
      <c r="AG99" s="3525">
        <v>1700</v>
      </c>
      <c r="AH99" s="3525">
        <v>8109.98</v>
      </c>
      <c r="AI99" s="3525">
        <v>490</v>
      </c>
      <c r="AJ99" s="3526">
        <v>490</v>
      </c>
      <c r="AK99" s="3525">
        <v>2450</v>
      </c>
      <c r="AL99" s="3526">
        <v>2450</v>
      </c>
      <c r="AM99" s="3525" t="s">
        <v>3056</v>
      </c>
      <c r="AN99" s="3525" t="s">
        <v>3056</v>
      </c>
      <c r="AO99" s="3526">
        <v>0</v>
      </c>
      <c r="AP99" s="3526" t="s">
        <v>3059</v>
      </c>
      <c r="AQ99" s="3526">
        <v>0</v>
      </c>
      <c r="AR99" s="3526">
        <v>0</v>
      </c>
    </row>
    <row r="100" spans="1:44" ht="14.25">
      <c r="A100" s="3525" t="s">
        <v>3068</v>
      </c>
      <c r="B100" s="3525">
        <v>2019016002</v>
      </c>
      <c r="C100" s="3525" t="s">
        <v>3048</v>
      </c>
      <c r="D100" s="3525" t="s">
        <v>3049</v>
      </c>
      <c r="E100" s="3525" t="s">
        <v>3356</v>
      </c>
      <c r="F100" s="3525" t="s">
        <v>3069</v>
      </c>
      <c r="G100" s="3525" t="s">
        <v>3051</v>
      </c>
      <c r="H100" s="3525">
        <v>18755.099999999999</v>
      </c>
      <c r="I100" s="3525">
        <v>41261.22</v>
      </c>
      <c r="J100" s="3525" t="s">
        <v>3458</v>
      </c>
      <c r="K100" s="3525" t="s">
        <v>3358</v>
      </c>
      <c r="L100" s="3525" t="s">
        <v>3404</v>
      </c>
      <c r="M100" s="3525" t="s">
        <v>3052</v>
      </c>
      <c r="N100" s="3525" t="s">
        <v>3053</v>
      </c>
      <c r="O100" s="3525" t="s">
        <v>3056</v>
      </c>
      <c r="P100" s="3525" t="s">
        <v>3056</v>
      </c>
      <c r="Q100" s="3525" t="s">
        <v>3056</v>
      </c>
      <c r="R100" s="3525" t="s">
        <v>3056</v>
      </c>
      <c r="S100" s="3525" t="s">
        <v>3056</v>
      </c>
      <c r="T100" s="3525" t="s">
        <v>3056</v>
      </c>
      <c r="U100" s="3525" t="s">
        <v>3056</v>
      </c>
      <c r="V100" s="3525" t="s">
        <v>3056</v>
      </c>
      <c r="W100" s="3525" t="s">
        <v>3056</v>
      </c>
      <c r="X100" s="3527">
        <v>43523.000497685185</v>
      </c>
      <c r="Y100" s="3527">
        <v>43543.000497685185</v>
      </c>
      <c r="Z100" s="3527">
        <v>43552.000497685185</v>
      </c>
      <c r="AA100" s="3527">
        <v>43552.000497685185</v>
      </c>
      <c r="AB100" s="3525" t="s">
        <v>3256</v>
      </c>
      <c r="AC100" s="3525" t="s">
        <v>3058</v>
      </c>
      <c r="AD100" s="3525" t="s">
        <v>3360</v>
      </c>
      <c r="AE100" s="3525" t="s">
        <v>3420</v>
      </c>
      <c r="AF100" s="3525">
        <v>13503.67</v>
      </c>
      <c r="AG100" s="3525">
        <v>2800</v>
      </c>
      <c r="AH100" s="3525">
        <v>13503.67</v>
      </c>
      <c r="AI100" s="3525">
        <v>480</v>
      </c>
      <c r="AJ100" s="3525">
        <v>480</v>
      </c>
      <c r="AK100" s="3525">
        <v>3273</v>
      </c>
      <c r="AL100" s="3525">
        <v>3273</v>
      </c>
      <c r="AM100" s="3525" t="s">
        <v>3056</v>
      </c>
      <c r="AN100" s="3525" t="s">
        <v>3056</v>
      </c>
      <c r="AO100" s="3525">
        <v>0</v>
      </c>
      <c r="AP100" s="3525" t="s">
        <v>3059</v>
      </c>
      <c r="AQ100" s="3525">
        <v>0</v>
      </c>
      <c r="AR100" s="3525">
        <v>0</v>
      </c>
    </row>
    <row r="101" spans="1:44" s="3292" customFormat="1" ht="14.25" hidden="1" customHeight="1">
      <c r="A101" s="3526" t="s">
        <v>3150</v>
      </c>
      <c r="B101" s="3526">
        <v>2019015001</v>
      </c>
      <c r="C101" s="3525" t="s">
        <v>3048</v>
      </c>
      <c r="D101" s="3525" t="s">
        <v>3049</v>
      </c>
      <c r="E101" s="3526" t="s">
        <v>3378</v>
      </c>
      <c r="F101" s="3525" t="s">
        <v>3151</v>
      </c>
      <c r="G101" s="3525" t="s">
        <v>3051</v>
      </c>
      <c r="H101" s="3526">
        <v>67964.58</v>
      </c>
      <c r="I101" s="3526">
        <v>95150.41</v>
      </c>
      <c r="J101" s="3526" t="s">
        <v>3459</v>
      </c>
      <c r="K101" s="3525" t="s">
        <v>3358</v>
      </c>
      <c r="L101" s="3526" t="s">
        <v>3404</v>
      </c>
      <c r="M101" s="3525" t="s">
        <v>3052</v>
      </c>
      <c r="N101" s="3525" t="s">
        <v>3053</v>
      </c>
      <c r="O101" s="3525" t="s">
        <v>3077</v>
      </c>
      <c r="P101" s="3525" t="s">
        <v>3056</v>
      </c>
      <c r="Q101" s="3525" t="s">
        <v>3056</v>
      </c>
      <c r="R101" s="3525" t="s">
        <v>3056</v>
      </c>
      <c r="S101" s="3525" t="s">
        <v>3056</v>
      </c>
      <c r="T101" s="3525" t="s">
        <v>3056</v>
      </c>
      <c r="U101" s="3525" t="s">
        <v>3056</v>
      </c>
      <c r="V101" s="3525" t="s">
        <v>3056</v>
      </c>
      <c r="W101" s="3525" t="s">
        <v>3056</v>
      </c>
      <c r="X101" s="3527">
        <v>43522.000497685185</v>
      </c>
      <c r="Y101" s="3527">
        <v>43542.000497685185</v>
      </c>
      <c r="Z101" s="3527">
        <v>43552.000497685185</v>
      </c>
      <c r="AA101" s="3528">
        <v>43552.000497685185</v>
      </c>
      <c r="AB101" s="3525" t="s">
        <v>3257</v>
      </c>
      <c r="AC101" s="3525" t="s">
        <v>3058</v>
      </c>
      <c r="AD101" s="3526" t="s">
        <v>3460</v>
      </c>
      <c r="AE101" s="3526" t="s">
        <v>2776</v>
      </c>
      <c r="AF101" s="3525">
        <v>3568.13</v>
      </c>
      <c r="AG101" s="3525">
        <v>800</v>
      </c>
      <c r="AH101" s="3525">
        <v>3568.13</v>
      </c>
      <c r="AI101" s="3525">
        <v>35</v>
      </c>
      <c r="AJ101" s="3526">
        <v>35</v>
      </c>
      <c r="AK101" s="3525">
        <v>375</v>
      </c>
      <c r="AL101" s="3526">
        <v>375</v>
      </c>
      <c r="AM101" s="3525" t="s">
        <v>3056</v>
      </c>
      <c r="AN101" s="3525" t="s">
        <v>3056</v>
      </c>
      <c r="AO101" s="3526">
        <v>0</v>
      </c>
      <c r="AP101" s="3526" t="s">
        <v>3059</v>
      </c>
      <c r="AQ101" s="3526">
        <v>0</v>
      </c>
      <c r="AR101" s="3526">
        <v>0</v>
      </c>
    </row>
    <row r="102" spans="1:44" s="3292" customFormat="1" ht="14.25" hidden="1" customHeight="1">
      <c r="A102" s="3526" t="s">
        <v>3258</v>
      </c>
      <c r="B102" s="3526">
        <v>2019014003</v>
      </c>
      <c r="C102" s="3525" t="s">
        <v>3048</v>
      </c>
      <c r="D102" s="3525" t="s">
        <v>3049</v>
      </c>
      <c r="E102" s="3526" t="s">
        <v>3365</v>
      </c>
      <c r="F102" s="3525" t="s">
        <v>3259</v>
      </c>
      <c r="G102" s="3525" t="s">
        <v>3051</v>
      </c>
      <c r="H102" s="3526">
        <v>11111</v>
      </c>
      <c r="I102" s="3526">
        <v>35555.199999999997</v>
      </c>
      <c r="J102" s="3526" t="s">
        <v>3461</v>
      </c>
      <c r="K102" s="3525" t="s">
        <v>3358</v>
      </c>
      <c r="L102" s="3526" t="s">
        <v>3404</v>
      </c>
      <c r="M102" s="3525" t="s">
        <v>3052</v>
      </c>
      <c r="N102" s="3525" t="s">
        <v>3053</v>
      </c>
      <c r="O102" s="3525" t="s">
        <v>3260</v>
      </c>
      <c r="P102" s="3525" t="s">
        <v>3056</v>
      </c>
      <c r="Q102" s="3525" t="s">
        <v>3056</v>
      </c>
      <c r="R102" s="3525" t="s">
        <v>3056</v>
      </c>
      <c r="S102" s="3525" t="s">
        <v>3056</v>
      </c>
      <c r="T102" s="3525" t="s">
        <v>3056</v>
      </c>
      <c r="U102" s="3525" t="s">
        <v>3056</v>
      </c>
      <c r="V102" s="3525" t="s">
        <v>3056</v>
      </c>
      <c r="W102" s="3525" t="s">
        <v>3056</v>
      </c>
      <c r="X102" s="3527">
        <v>43521.000497685185</v>
      </c>
      <c r="Y102" s="3527">
        <v>43542.000497685185</v>
      </c>
      <c r="Z102" s="3527">
        <v>43551.000497685185</v>
      </c>
      <c r="AA102" s="3528">
        <v>43551.000497685185</v>
      </c>
      <c r="AB102" s="3525" t="s">
        <v>3261</v>
      </c>
      <c r="AC102" s="3525" t="s">
        <v>3058</v>
      </c>
      <c r="AD102" s="3526" t="s">
        <v>3368</v>
      </c>
      <c r="AE102" s="3526" t="s">
        <v>2776</v>
      </c>
      <c r="AF102" s="3525">
        <v>6666.6</v>
      </c>
      <c r="AG102" s="3525">
        <v>1400</v>
      </c>
      <c r="AH102" s="3525">
        <v>6666.6</v>
      </c>
      <c r="AI102" s="3525">
        <v>400</v>
      </c>
      <c r="AJ102" s="3526">
        <v>400</v>
      </c>
      <c r="AK102" s="3525">
        <v>1875</v>
      </c>
      <c r="AL102" s="3526">
        <v>1875</v>
      </c>
      <c r="AM102" s="3525" t="s">
        <v>3056</v>
      </c>
      <c r="AN102" s="3525" t="s">
        <v>3056</v>
      </c>
      <c r="AO102" s="3526">
        <v>0</v>
      </c>
      <c r="AP102" s="3526" t="s">
        <v>3059</v>
      </c>
      <c r="AQ102" s="3526">
        <v>0</v>
      </c>
      <c r="AR102" s="3526">
        <v>0</v>
      </c>
    </row>
    <row r="103" spans="1:44" s="3292" customFormat="1" ht="14.25" hidden="1" customHeight="1">
      <c r="A103" s="3526" t="s">
        <v>3262</v>
      </c>
      <c r="B103" s="3526">
        <v>2019014002</v>
      </c>
      <c r="C103" s="3525" t="s">
        <v>3048</v>
      </c>
      <c r="D103" s="3525" t="s">
        <v>3049</v>
      </c>
      <c r="E103" s="3526" t="s">
        <v>3365</v>
      </c>
      <c r="F103" s="3525" t="s">
        <v>3263</v>
      </c>
      <c r="G103" s="3525" t="s">
        <v>3051</v>
      </c>
      <c r="H103" s="3526">
        <v>12243</v>
      </c>
      <c r="I103" s="3526">
        <v>39177.599999999999</v>
      </c>
      <c r="J103" s="3526" t="s">
        <v>3461</v>
      </c>
      <c r="K103" s="3525" t="s">
        <v>3358</v>
      </c>
      <c r="L103" s="3526" t="s">
        <v>3404</v>
      </c>
      <c r="M103" s="3525" t="s">
        <v>3052</v>
      </c>
      <c r="N103" s="3525" t="s">
        <v>3053</v>
      </c>
      <c r="O103" s="3525" t="s">
        <v>3260</v>
      </c>
      <c r="P103" s="3525" t="s">
        <v>3056</v>
      </c>
      <c r="Q103" s="3525" t="s">
        <v>3056</v>
      </c>
      <c r="R103" s="3525" t="s">
        <v>3056</v>
      </c>
      <c r="S103" s="3525" t="s">
        <v>3056</v>
      </c>
      <c r="T103" s="3525" t="s">
        <v>3056</v>
      </c>
      <c r="U103" s="3525" t="s">
        <v>3056</v>
      </c>
      <c r="V103" s="3525" t="s">
        <v>3056</v>
      </c>
      <c r="W103" s="3525" t="s">
        <v>3056</v>
      </c>
      <c r="X103" s="3527">
        <v>43521.000497685185</v>
      </c>
      <c r="Y103" s="3527">
        <v>43542.000497685185</v>
      </c>
      <c r="Z103" s="3527">
        <v>43551.000497685185</v>
      </c>
      <c r="AA103" s="3528">
        <v>43551.000497685185</v>
      </c>
      <c r="AB103" s="3525" t="s">
        <v>3264</v>
      </c>
      <c r="AC103" s="3525" t="s">
        <v>3058</v>
      </c>
      <c r="AD103" s="3526" t="s">
        <v>3368</v>
      </c>
      <c r="AE103" s="3526" t="s">
        <v>2776</v>
      </c>
      <c r="AF103" s="3525">
        <v>7345.8</v>
      </c>
      <c r="AG103" s="3525">
        <v>1600</v>
      </c>
      <c r="AH103" s="3525">
        <v>7345.8</v>
      </c>
      <c r="AI103" s="3525">
        <v>400</v>
      </c>
      <c r="AJ103" s="3526">
        <v>400</v>
      </c>
      <c r="AK103" s="3525">
        <v>1875</v>
      </c>
      <c r="AL103" s="3526">
        <v>1875</v>
      </c>
      <c r="AM103" s="3525" t="s">
        <v>3056</v>
      </c>
      <c r="AN103" s="3525" t="s">
        <v>3056</v>
      </c>
      <c r="AO103" s="3526">
        <v>0</v>
      </c>
      <c r="AP103" s="3526" t="s">
        <v>3059</v>
      </c>
      <c r="AQ103" s="3526">
        <v>0</v>
      </c>
      <c r="AR103" s="3526">
        <v>0</v>
      </c>
    </row>
    <row r="104" spans="1:44" s="3292" customFormat="1" ht="14.25" hidden="1" customHeight="1">
      <c r="A104" s="3526" t="s">
        <v>3265</v>
      </c>
      <c r="B104" s="3526">
        <v>2019014001</v>
      </c>
      <c r="C104" s="3525" t="s">
        <v>3048</v>
      </c>
      <c r="D104" s="3525" t="s">
        <v>3049</v>
      </c>
      <c r="E104" s="3526" t="s">
        <v>3365</v>
      </c>
      <c r="F104" s="3525" t="s">
        <v>3266</v>
      </c>
      <c r="G104" s="3525" t="s">
        <v>3051</v>
      </c>
      <c r="H104" s="3526">
        <v>42509</v>
      </c>
      <c r="I104" s="3526">
        <v>136028.79999999999</v>
      </c>
      <c r="J104" s="3526" t="s">
        <v>3461</v>
      </c>
      <c r="K104" s="3525" t="s">
        <v>3358</v>
      </c>
      <c r="L104" s="3526" t="s">
        <v>3404</v>
      </c>
      <c r="M104" s="3525" t="s">
        <v>3052</v>
      </c>
      <c r="N104" s="3525" t="s">
        <v>3053</v>
      </c>
      <c r="O104" s="3525" t="s">
        <v>3260</v>
      </c>
      <c r="P104" s="3525" t="s">
        <v>3056</v>
      </c>
      <c r="Q104" s="3525" t="s">
        <v>3056</v>
      </c>
      <c r="R104" s="3525" t="s">
        <v>3056</v>
      </c>
      <c r="S104" s="3525" t="s">
        <v>3056</v>
      </c>
      <c r="T104" s="3525" t="s">
        <v>3056</v>
      </c>
      <c r="U104" s="3525" t="s">
        <v>3056</v>
      </c>
      <c r="V104" s="3525" t="s">
        <v>3056</v>
      </c>
      <c r="W104" s="3525" t="s">
        <v>3056</v>
      </c>
      <c r="X104" s="3527">
        <v>43521.000497685185</v>
      </c>
      <c r="Y104" s="3527">
        <v>43542.000497685185</v>
      </c>
      <c r="Z104" s="3527">
        <v>43551.000497685185</v>
      </c>
      <c r="AA104" s="3528">
        <v>43551.000497685185</v>
      </c>
      <c r="AB104" s="3525" t="s">
        <v>3267</v>
      </c>
      <c r="AC104" s="3525" t="s">
        <v>3058</v>
      </c>
      <c r="AD104" s="3526" t="s">
        <v>3368</v>
      </c>
      <c r="AE104" s="3526" t="s">
        <v>2776</v>
      </c>
      <c r="AF104" s="3525">
        <v>25505.4</v>
      </c>
      <c r="AG104" s="3525">
        <v>6000</v>
      </c>
      <c r="AH104" s="3525">
        <v>25505.4</v>
      </c>
      <c r="AI104" s="3525">
        <v>400</v>
      </c>
      <c r="AJ104" s="3526">
        <v>400</v>
      </c>
      <c r="AK104" s="3525">
        <v>1875</v>
      </c>
      <c r="AL104" s="3526">
        <v>1875</v>
      </c>
      <c r="AM104" s="3525" t="s">
        <v>3056</v>
      </c>
      <c r="AN104" s="3525" t="s">
        <v>3056</v>
      </c>
      <c r="AO104" s="3526">
        <v>0</v>
      </c>
      <c r="AP104" s="3526" t="s">
        <v>3059</v>
      </c>
      <c r="AQ104" s="3526">
        <v>0</v>
      </c>
      <c r="AR104" s="3526">
        <v>0</v>
      </c>
    </row>
    <row r="105" spans="1:44" s="3292" customFormat="1" ht="14.25" hidden="1" customHeight="1">
      <c r="A105" s="3526" t="s">
        <v>3079</v>
      </c>
      <c r="B105" s="3526">
        <v>2019014004</v>
      </c>
      <c r="C105" s="3525" t="s">
        <v>3048</v>
      </c>
      <c r="D105" s="3525" t="s">
        <v>3049</v>
      </c>
      <c r="E105" s="3526" t="s">
        <v>3365</v>
      </c>
      <c r="F105" s="3525" t="s">
        <v>3080</v>
      </c>
      <c r="G105" s="3525" t="s">
        <v>3051</v>
      </c>
      <c r="H105" s="3526">
        <v>11632</v>
      </c>
      <c r="I105" s="3526">
        <v>37222.400000000001</v>
      </c>
      <c r="J105" s="3526" t="s">
        <v>3461</v>
      </c>
      <c r="K105" s="3525" t="s">
        <v>3358</v>
      </c>
      <c r="L105" s="3526" t="s">
        <v>3404</v>
      </c>
      <c r="M105" s="3525" t="s">
        <v>3052</v>
      </c>
      <c r="N105" s="3525" t="s">
        <v>3053</v>
      </c>
      <c r="O105" s="3525" t="s">
        <v>3260</v>
      </c>
      <c r="P105" s="3525" t="s">
        <v>3056</v>
      </c>
      <c r="Q105" s="3525" t="s">
        <v>3056</v>
      </c>
      <c r="R105" s="3525" t="s">
        <v>3056</v>
      </c>
      <c r="S105" s="3525" t="s">
        <v>3056</v>
      </c>
      <c r="T105" s="3525" t="s">
        <v>3056</v>
      </c>
      <c r="U105" s="3525" t="s">
        <v>3056</v>
      </c>
      <c r="V105" s="3525" t="s">
        <v>3056</v>
      </c>
      <c r="W105" s="3525" t="s">
        <v>3056</v>
      </c>
      <c r="X105" s="3527">
        <v>43521.000497685185</v>
      </c>
      <c r="Y105" s="3527">
        <v>43542.000497685185</v>
      </c>
      <c r="Z105" s="3527">
        <v>43551.000497685185</v>
      </c>
      <c r="AA105" s="3528">
        <v>43551.000497685185</v>
      </c>
      <c r="AB105" s="3525" t="s">
        <v>3268</v>
      </c>
      <c r="AC105" s="3525" t="s">
        <v>3058</v>
      </c>
      <c r="AD105" s="3526" t="s">
        <v>3368</v>
      </c>
      <c r="AE105" s="3526" t="s">
        <v>2776</v>
      </c>
      <c r="AF105" s="3525">
        <v>6979.19</v>
      </c>
      <c r="AG105" s="3525">
        <v>1400</v>
      </c>
      <c r="AH105" s="3525">
        <v>6979.19</v>
      </c>
      <c r="AI105" s="3525">
        <v>400</v>
      </c>
      <c r="AJ105" s="3526">
        <v>400</v>
      </c>
      <c r="AK105" s="3525">
        <v>1875</v>
      </c>
      <c r="AL105" s="3526">
        <v>1875</v>
      </c>
      <c r="AM105" s="3525" t="s">
        <v>3056</v>
      </c>
      <c r="AN105" s="3525" t="s">
        <v>3056</v>
      </c>
      <c r="AO105" s="3526">
        <v>0</v>
      </c>
      <c r="AP105" s="3526" t="s">
        <v>3059</v>
      </c>
      <c r="AQ105" s="3526">
        <v>0</v>
      </c>
      <c r="AR105" s="3526">
        <v>0</v>
      </c>
    </row>
    <row r="106" spans="1:44" s="3292" customFormat="1" ht="14.25" hidden="1" customHeight="1">
      <c r="A106" s="3526" t="s">
        <v>3269</v>
      </c>
      <c r="B106" s="3526">
        <v>2019013002</v>
      </c>
      <c r="C106" s="3525" t="s">
        <v>3048</v>
      </c>
      <c r="D106" s="3525" t="s">
        <v>3049</v>
      </c>
      <c r="E106" s="3526" t="s">
        <v>3414</v>
      </c>
      <c r="F106" s="3525" t="s">
        <v>3270</v>
      </c>
      <c r="G106" s="3525" t="s">
        <v>3051</v>
      </c>
      <c r="H106" s="3526">
        <v>19897</v>
      </c>
      <c r="I106" s="3526">
        <v>63670.400000000001</v>
      </c>
      <c r="J106" s="3526" t="s">
        <v>3461</v>
      </c>
      <c r="K106" s="3525" t="s">
        <v>3358</v>
      </c>
      <c r="L106" s="3526" t="s">
        <v>3404</v>
      </c>
      <c r="M106" s="3525" t="s">
        <v>3052</v>
      </c>
      <c r="N106" s="3525" t="s">
        <v>3053</v>
      </c>
      <c r="O106" s="3525" t="s">
        <v>3056</v>
      </c>
      <c r="P106" s="3525" t="s">
        <v>3056</v>
      </c>
      <c r="Q106" s="3525" t="s">
        <v>3056</v>
      </c>
      <c r="R106" s="3525" t="s">
        <v>3056</v>
      </c>
      <c r="S106" s="3525" t="s">
        <v>3056</v>
      </c>
      <c r="T106" s="3525" t="s">
        <v>3056</v>
      </c>
      <c r="U106" s="3525" t="s">
        <v>3056</v>
      </c>
      <c r="V106" s="3525" t="s">
        <v>3056</v>
      </c>
      <c r="W106" s="3525" t="s">
        <v>3056</v>
      </c>
      <c r="X106" s="3527">
        <v>43518.000497685185</v>
      </c>
      <c r="Y106" s="3527">
        <v>43538.000497685185</v>
      </c>
      <c r="Z106" s="3527">
        <v>43547.000497685185</v>
      </c>
      <c r="AA106" s="3528">
        <v>43547.000497685185</v>
      </c>
      <c r="AB106" s="3525" t="s">
        <v>3271</v>
      </c>
      <c r="AC106" s="3525" t="s">
        <v>3058</v>
      </c>
      <c r="AD106" s="3526" t="s">
        <v>3415</v>
      </c>
      <c r="AE106" s="3526" t="s">
        <v>2776</v>
      </c>
      <c r="AF106" s="3525">
        <v>13728.93</v>
      </c>
      <c r="AG106" s="3525">
        <v>2800</v>
      </c>
      <c r="AH106" s="3525">
        <v>13728.93</v>
      </c>
      <c r="AI106" s="3525">
        <v>460</v>
      </c>
      <c r="AJ106" s="3526">
        <v>460</v>
      </c>
      <c r="AK106" s="3525">
        <v>2156</v>
      </c>
      <c r="AL106" s="3526">
        <v>2156</v>
      </c>
      <c r="AM106" s="3525" t="s">
        <v>3056</v>
      </c>
      <c r="AN106" s="3525" t="s">
        <v>3056</v>
      </c>
      <c r="AO106" s="3526">
        <v>0</v>
      </c>
      <c r="AP106" s="3526" t="s">
        <v>3059</v>
      </c>
      <c r="AQ106" s="3526">
        <v>0</v>
      </c>
      <c r="AR106" s="3526">
        <v>0</v>
      </c>
    </row>
    <row r="107" spans="1:44" s="3292" customFormat="1" ht="14.25" hidden="1" customHeight="1">
      <c r="A107" s="3526" t="s">
        <v>3272</v>
      </c>
      <c r="B107" s="3526">
        <v>2019013001</v>
      </c>
      <c r="C107" s="3525" t="s">
        <v>3048</v>
      </c>
      <c r="D107" s="3525" t="s">
        <v>3049</v>
      </c>
      <c r="E107" s="3526" t="s">
        <v>3414</v>
      </c>
      <c r="F107" s="3525" t="s">
        <v>3273</v>
      </c>
      <c r="G107" s="3525" t="s">
        <v>3051</v>
      </c>
      <c r="H107" s="3526">
        <v>16585</v>
      </c>
      <c r="I107" s="3526">
        <v>53072</v>
      </c>
      <c r="J107" s="3526" t="s">
        <v>3461</v>
      </c>
      <c r="K107" s="3525" t="s">
        <v>3358</v>
      </c>
      <c r="L107" s="3526" t="s">
        <v>3404</v>
      </c>
      <c r="M107" s="3525" t="s">
        <v>3052</v>
      </c>
      <c r="N107" s="3525" t="s">
        <v>3053</v>
      </c>
      <c r="O107" s="3525" t="s">
        <v>3056</v>
      </c>
      <c r="P107" s="3525" t="s">
        <v>3056</v>
      </c>
      <c r="Q107" s="3525" t="s">
        <v>3056</v>
      </c>
      <c r="R107" s="3525" t="s">
        <v>3056</v>
      </c>
      <c r="S107" s="3525" t="s">
        <v>3056</v>
      </c>
      <c r="T107" s="3525" t="s">
        <v>3056</v>
      </c>
      <c r="U107" s="3525" t="s">
        <v>3056</v>
      </c>
      <c r="V107" s="3525" t="s">
        <v>3056</v>
      </c>
      <c r="W107" s="3525" t="s">
        <v>3056</v>
      </c>
      <c r="X107" s="3527">
        <v>43518.000497685185</v>
      </c>
      <c r="Y107" s="3527">
        <v>43538.000497685185</v>
      </c>
      <c r="Z107" s="3527">
        <v>43547.000497685185</v>
      </c>
      <c r="AA107" s="3528">
        <v>43547.000497685185</v>
      </c>
      <c r="AB107" s="3525" t="s">
        <v>3274</v>
      </c>
      <c r="AC107" s="3525" t="s">
        <v>3058</v>
      </c>
      <c r="AD107" s="3526" t="s">
        <v>3415</v>
      </c>
      <c r="AE107" s="3526" t="s">
        <v>2776</v>
      </c>
      <c r="AF107" s="3525">
        <v>11443.64</v>
      </c>
      <c r="AG107" s="3525">
        <v>2300</v>
      </c>
      <c r="AH107" s="3525">
        <v>11443.64</v>
      </c>
      <c r="AI107" s="3525">
        <v>460</v>
      </c>
      <c r="AJ107" s="3526">
        <v>460</v>
      </c>
      <c r="AK107" s="3525">
        <v>2156</v>
      </c>
      <c r="AL107" s="3526">
        <v>2156</v>
      </c>
      <c r="AM107" s="3525" t="s">
        <v>3056</v>
      </c>
      <c r="AN107" s="3525" t="s">
        <v>3056</v>
      </c>
      <c r="AO107" s="3526">
        <v>0</v>
      </c>
      <c r="AP107" s="3526" t="s">
        <v>3059</v>
      </c>
      <c r="AQ107" s="3526">
        <v>0</v>
      </c>
      <c r="AR107" s="3526">
        <v>0</v>
      </c>
    </row>
    <row r="108" spans="1:44" ht="14.25">
      <c r="A108" s="3525" t="s">
        <v>3275</v>
      </c>
      <c r="B108" s="3525">
        <v>2019011001</v>
      </c>
      <c r="C108" s="3525" t="s">
        <v>3048</v>
      </c>
      <c r="D108" s="3525" t="s">
        <v>3049</v>
      </c>
      <c r="E108" s="3525" t="s">
        <v>3382</v>
      </c>
      <c r="F108" s="3525" t="s">
        <v>3276</v>
      </c>
      <c r="G108" s="3525" t="s">
        <v>3051</v>
      </c>
      <c r="H108" s="3525">
        <v>54962</v>
      </c>
      <c r="I108" s="3525">
        <v>175878.39999999999</v>
      </c>
      <c r="J108" s="3525" t="s">
        <v>3461</v>
      </c>
      <c r="K108" s="3525" t="s">
        <v>3358</v>
      </c>
      <c r="L108" s="3525" t="s">
        <v>3404</v>
      </c>
      <c r="M108" s="3525" t="s">
        <v>3052</v>
      </c>
      <c r="N108" s="3525" t="s">
        <v>3053</v>
      </c>
      <c r="O108" s="3525" t="s">
        <v>3054</v>
      </c>
      <c r="P108" s="3525" t="s">
        <v>3056</v>
      </c>
      <c r="Q108" s="3525" t="s">
        <v>3056</v>
      </c>
      <c r="R108" s="3525" t="s">
        <v>3056</v>
      </c>
      <c r="S108" s="3525" t="s">
        <v>3056</v>
      </c>
      <c r="T108" s="3525" t="s">
        <v>3056</v>
      </c>
      <c r="U108" s="3525" t="s">
        <v>3056</v>
      </c>
      <c r="V108" s="3525" t="s">
        <v>3056</v>
      </c>
      <c r="W108" s="3525" t="s">
        <v>3056</v>
      </c>
      <c r="X108" s="3527">
        <v>43495.000497685185</v>
      </c>
      <c r="Y108" s="3527">
        <v>43516.000497685185</v>
      </c>
      <c r="Z108" s="3527">
        <v>43525.000497685185</v>
      </c>
      <c r="AA108" s="3527">
        <v>43525.000497685185</v>
      </c>
      <c r="AB108" s="3525" t="s">
        <v>3277</v>
      </c>
      <c r="AC108" s="3525" t="s">
        <v>3058</v>
      </c>
      <c r="AD108" s="3525" t="s">
        <v>3462</v>
      </c>
      <c r="AE108" s="3525" t="s">
        <v>2776</v>
      </c>
      <c r="AF108" s="3525">
        <v>28855.040000000001</v>
      </c>
      <c r="AG108" s="3525">
        <v>6000</v>
      </c>
      <c r="AH108" s="3525">
        <v>28855.040000000001</v>
      </c>
      <c r="AI108" s="3525">
        <v>350</v>
      </c>
      <c r="AJ108" s="3525">
        <v>350</v>
      </c>
      <c r="AK108" s="3525">
        <v>1641</v>
      </c>
      <c r="AL108" s="3525">
        <v>1641</v>
      </c>
      <c r="AM108" s="3525" t="s">
        <v>3056</v>
      </c>
      <c r="AN108" s="3525" t="s">
        <v>3056</v>
      </c>
      <c r="AO108" s="3525">
        <v>0</v>
      </c>
      <c r="AP108" s="3525" t="s">
        <v>3059</v>
      </c>
      <c r="AQ108" s="3525">
        <v>0</v>
      </c>
      <c r="AR108" s="3525">
        <v>0</v>
      </c>
    </row>
    <row r="109" spans="1:44" ht="14.25">
      <c r="A109" s="3525" t="s">
        <v>3278</v>
      </c>
      <c r="B109" s="3525">
        <v>2019009001</v>
      </c>
      <c r="C109" s="3525" t="s">
        <v>3048</v>
      </c>
      <c r="D109" s="3525" t="s">
        <v>3049</v>
      </c>
      <c r="E109" s="3525" t="s">
        <v>3369</v>
      </c>
      <c r="F109" s="3525" t="s">
        <v>3279</v>
      </c>
      <c r="G109" s="3525" t="s">
        <v>3051</v>
      </c>
      <c r="H109" s="3525">
        <v>12947</v>
      </c>
      <c r="I109" s="3525">
        <v>58261.5</v>
      </c>
      <c r="J109" s="3525" t="s">
        <v>3463</v>
      </c>
      <c r="K109" s="3525" t="s">
        <v>3358</v>
      </c>
      <c r="L109" s="3525" t="s">
        <v>3404</v>
      </c>
      <c r="M109" s="3525" t="s">
        <v>3052</v>
      </c>
      <c r="N109" s="3525" t="s">
        <v>3053</v>
      </c>
      <c r="O109" s="3525" t="s">
        <v>3280</v>
      </c>
      <c r="P109" s="3525" t="s">
        <v>3056</v>
      </c>
      <c r="Q109" s="3525" t="s">
        <v>3056</v>
      </c>
      <c r="R109" s="3525" t="s">
        <v>3056</v>
      </c>
      <c r="S109" s="3525" t="s">
        <v>3056</v>
      </c>
      <c r="T109" s="3525" t="s">
        <v>3056</v>
      </c>
      <c r="U109" s="3525" t="s">
        <v>3056</v>
      </c>
      <c r="V109" s="3525" t="s">
        <v>3056</v>
      </c>
      <c r="W109" s="3525" t="s">
        <v>3056</v>
      </c>
      <c r="X109" s="3527">
        <v>43488.000497685185</v>
      </c>
      <c r="Y109" s="3527">
        <v>43508.000497685185</v>
      </c>
      <c r="Z109" s="3527">
        <v>43518.000497685185</v>
      </c>
      <c r="AA109" s="3527">
        <v>43518.000497685185</v>
      </c>
      <c r="AB109" s="3525" t="s">
        <v>3281</v>
      </c>
      <c r="AC109" s="3525" t="s">
        <v>3058</v>
      </c>
      <c r="AD109" s="3525" t="s">
        <v>3464</v>
      </c>
      <c r="AE109" s="3525" t="s">
        <v>2776</v>
      </c>
      <c r="AF109" s="3525">
        <v>8016.77</v>
      </c>
      <c r="AG109" s="3525">
        <v>2000</v>
      </c>
      <c r="AH109" s="3525">
        <v>8016.77</v>
      </c>
      <c r="AI109" s="3525">
        <v>412.8</v>
      </c>
      <c r="AJ109" s="3525">
        <v>412.8</v>
      </c>
      <c r="AK109" s="3525">
        <v>1376</v>
      </c>
      <c r="AL109" s="3525">
        <v>1376</v>
      </c>
      <c r="AM109" s="3525" t="s">
        <v>3056</v>
      </c>
      <c r="AN109" s="3525" t="s">
        <v>3056</v>
      </c>
      <c r="AO109" s="3525">
        <v>0</v>
      </c>
      <c r="AP109" s="3525" t="s">
        <v>3059</v>
      </c>
      <c r="AQ109" s="3525">
        <v>0</v>
      </c>
      <c r="AR109" s="3525">
        <v>0</v>
      </c>
    </row>
    <row r="110" spans="1:44" ht="14.25">
      <c r="A110" s="3525" t="s">
        <v>3282</v>
      </c>
      <c r="B110" s="3525">
        <v>2019005001</v>
      </c>
      <c r="C110" s="3525" t="s">
        <v>3048</v>
      </c>
      <c r="D110" s="3525" t="s">
        <v>3049</v>
      </c>
      <c r="E110" s="3525" t="s">
        <v>3382</v>
      </c>
      <c r="F110" s="3525" t="s">
        <v>3283</v>
      </c>
      <c r="G110" s="3525" t="s">
        <v>3051</v>
      </c>
      <c r="H110" s="3525">
        <v>18902</v>
      </c>
      <c r="I110" s="3525">
        <v>41584.400000000001</v>
      </c>
      <c r="J110" s="3525" t="s">
        <v>3458</v>
      </c>
      <c r="K110" s="3525" t="s">
        <v>3358</v>
      </c>
      <c r="L110" s="3525" t="s">
        <v>3465</v>
      </c>
      <c r="M110" s="3525" t="s">
        <v>3052</v>
      </c>
      <c r="N110" s="3525" t="s">
        <v>3053</v>
      </c>
      <c r="O110" s="3525" t="s">
        <v>3054</v>
      </c>
      <c r="P110" s="3525" t="s">
        <v>3056</v>
      </c>
      <c r="Q110" s="3525" t="s">
        <v>3056</v>
      </c>
      <c r="R110" s="3525" t="s">
        <v>3056</v>
      </c>
      <c r="S110" s="3525" t="s">
        <v>3056</v>
      </c>
      <c r="T110" s="3525" t="s">
        <v>3056</v>
      </c>
      <c r="U110" s="3525" t="s">
        <v>3056</v>
      </c>
      <c r="V110" s="3525" t="s">
        <v>3056</v>
      </c>
      <c r="W110" s="3525" t="s">
        <v>3056</v>
      </c>
      <c r="X110" s="3527">
        <v>43472.000497685185</v>
      </c>
      <c r="Y110" s="3527">
        <v>43492.000497685185</v>
      </c>
      <c r="Z110" s="3527">
        <v>43508.000497685185</v>
      </c>
      <c r="AA110" s="3527">
        <v>43508.000497685185</v>
      </c>
      <c r="AB110" s="3525" t="s">
        <v>3284</v>
      </c>
      <c r="AC110" s="3525" t="s">
        <v>3058</v>
      </c>
      <c r="AD110" s="3525" t="s">
        <v>3466</v>
      </c>
      <c r="AE110" s="3525" t="s">
        <v>2776</v>
      </c>
      <c r="AF110" s="3525">
        <v>4768.97</v>
      </c>
      <c r="AG110" s="3525">
        <v>1000</v>
      </c>
      <c r="AH110" s="3525">
        <v>16809.54</v>
      </c>
      <c r="AI110" s="3525">
        <v>168.2</v>
      </c>
      <c r="AJ110" s="3525">
        <v>592.87</v>
      </c>
      <c r="AK110" s="3525">
        <v>1147</v>
      </c>
      <c r="AL110" s="3525">
        <v>4042</v>
      </c>
      <c r="AM110" s="3525" t="s">
        <v>3056</v>
      </c>
      <c r="AN110" s="3525" t="s">
        <v>3056</v>
      </c>
      <c r="AO110" s="3525">
        <v>252.48</v>
      </c>
      <c r="AP110" s="3525" t="s">
        <v>3059</v>
      </c>
      <c r="AQ110" s="3525">
        <v>0</v>
      </c>
      <c r="AR110" s="3525">
        <v>0</v>
      </c>
    </row>
    <row r="111" spans="1:44" s="3292" customFormat="1" ht="14.25" hidden="1" customHeight="1">
      <c r="A111" s="3526" t="s">
        <v>3285</v>
      </c>
      <c r="B111" s="3526">
        <v>2019003001</v>
      </c>
      <c r="C111" s="3525" t="s">
        <v>3048</v>
      </c>
      <c r="D111" s="3525" t="s">
        <v>3049</v>
      </c>
      <c r="E111" s="3526" t="s">
        <v>3361</v>
      </c>
      <c r="F111" s="3525" t="s">
        <v>3286</v>
      </c>
      <c r="G111" s="3525" t="s">
        <v>3051</v>
      </c>
      <c r="H111" s="3526">
        <v>15179</v>
      </c>
      <c r="I111" s="3526">
        <v>48572.800000000003</v>
      </c>
      <c r="J111" s="3526" t="s">
        <v>3461</v>
      </c>
      <c r="K111" s="3525" t="s">
        <v>3358</v>
      </c>
      <c r="L111" s="3526" t="s">
        <v>3465</v>
      </c>
      <c r="M111" s="3525" t="s">
        <v>3052</v>
      </c>
      <c r="N111" s="3525" t="s">
        <v>3053</v>
      </c>
      <c r="O111" s="3525" t="s">
        <v>3260</v>
      </c>
      <c r="P111" s="3525" t="s">
        <v>3056</v>
      </c>
      <c r="Q111" s="3525" t="s">
        <v>3056</v>
      </c>
      <c r="R111" s="3525" t="s">
        <v>3056</v>
      </c>
      <c r="S111" s="3525" t="s">
        <v>3056</v>
      </c>
      <c r="T111" s="3525" t="s">
        <v>3056</v>
      </c>
      <c r="U111" s="3525" t="s">
        <v>3056</v>
      </c>
      <c r="V111" s="3525" t="s">
        <v>3056</v>
      </c>
      <c r="W111" s="3525" t="s">
        <v>3056</v>
      </c>
      <c r="X111" s="3527">
        <v>43468.000497685185</v>
      </c>
      <c r="Y111" s="3527">
        <v>43488.000497685185</v>
      </c>
      <c r="Z111" s="3527">
        <v>43498.000497685185</v>
      </c>
      <c r="AA111" s="3528">
        <v>43498.000497685185</v>
      </c>
      <c r="AB111" s="3525" t="s">
        <v>3287</v>
      </c>
      <c r="AC111" s="3525" t="s">
        <v>3058</v>
      </c>
      <c r="AD111" s="3526" t="s">
        <v>3401</v>
      </c>
      <c r="AE111" s="3526" t="s">
        <v>2776</v>
      </c>
      <c r="AF111" s="3525">
        <v>8378.7999999999993</v>
      </c>
      <c r="AG111" s="3525">
        <v>1700</v>
      </c>
      <c r="AH111" s="3525">
        <v>8378.7999999999993</v>
      </c>
      <c r="AI111" s="3525">
        <v>368</v>
      </c>
      <c r="AJ111" s="3526">
        <v>368</v>
      </c>
      <c r="AK111" s="3525">
        <v>1725</v>
      </c>
      <c r="AL111" s="3526">
        <v>1725</v>
      </c>
      <c r="AM111" s="3525" t="s">
        <v>3056</v>
      </c>
      <c r="AN111" s="3525" t="s">
        <v>3056</v>
      </c>
      <c r="AO111" s="3526">
        <v>0</v>
      </c>
      <c r="AP111" s="3526" t="s">
        <v>3059</v>
      </c>
      <c r="AQ111" s="3526">
        <v>0</v>
      </c>
      <c r="AR111" s="3526">
        <v>0</v>
      </c>
    </row>
    <row r="112" spans="1:44" s="3292" customFormat="1" ht="14.25" hidden="1" customHeight="1">
      <c r="A112" s="3526" t="s">
        <v>3288</v>
      </c>
      <c r="B112" s="3526">
        <v>2019003002</v>
      </c>
      <c r="C112" s="3525" t="s">
        <v>3048</v>
      </c>
      <c r="D112" s="3525" t="s">
        <v>3049</v>
      </c>
      <c r="E112" s="3526" t="s">
        <v>3361</v>
      </c>
      <c r="F112" s="3525" t="s">
        <v>3289</v>
      </c>
      <c r="G112" s="3525" t="s">
        <v>3051</v>
      </c>
      <c r="H112" s="3526">
        <v>15687</v>
      </c>
      <c r="I112" s="3526">
        <v>50198.400000000001</v>
      </c>
      <c r="J112" s="3526" t="s">
        <v>3461</v>
      </c>
      <c r="K112" s="3525" t="s">
        <v>3358</v>
      </c>
      <c r="L112" s="3526" t="s">
        <v>3465</v>
      </c>
      <c r="M112" s="3525" t="s">
        <v>3052</v>
      </c>
      <c r="N112" s="3525" t="s">
        <v>3053</v>
      </c>
      <c r="O112" s="3525" t="s">
        <v>3260</v>
      </c>
      <c r="P112" s="3525" t="s">
        <v>3056</v>
      </c>
      <c r="Q112" s="3525" t="s">
        <v>3056</v>
      </c>
      <c r="R112" s="3525" t="s">
        <v>3056</v>
      </c>
      <c r="S112" s="3525" t="s">
        <v>3056</v>
      </c>
      <c r="T112" s="3525" t="s">
        <v>3056</v>
      </c>
      <c r="U112" s="3525" t="s">
        <v>3056</v>
      </c>
      <c r="V112" s="3525" t="s">
        <v>3056</v>
      </c>
      <c r="W112" s="3525" t="s">
        <v>3056</v>
      </c>
      <c r="X112" s="3527">
        <v>43468.000497685185</v>
      </c>
      <c r="Y112" s="3527">
        <v>43488.000497685185</v>
      </c>
      <c r="Z112" s="3527">
        <v>43498.000497685185</v>
      </c>
      <c r="AA112" s="3528">
        <v>43498.000497685185</v>
      </c>
      <c r="AB112" s="3525" t="s">
        <v>3290</v>
      </c>
      <c r="AC112" s="3525" t="s">
        <v>3058</v>
      </c>
      <c r="AD112" s="3526" t="s">
        <v>3401</v>
      </c>
      <c r="AE112" s="3526" t="s">
        <v>2776</v>
      </c>
      <c r="AF112" s="3525">
        <v>8659.2099999999991</v>
      </c>
      <c r="AG112" s="3525">
        <v>1800</v>
      </c>
      <c r="AH112" s="3525">
        <v>8659.2099999999991</v>
      </c>
      <c r="AI112" s="3525">
        <v>368</v>
      </c>
      <c r="AJ112" s="3526">
        <v>368</v>
      </c>
      <c r="AK112" s="3525">
        <v>1725</v>
      </c>
      <c r="AL112" s="3526">
        <v>1725</v>
      </c>
      <c r="AM112" s="3525" t="s">
        <v>3056</v>
      </c>
      <c r="AN112" s="3525" t="s">
        <v>3056</v>
      </c>
      <c r="AO112" s="3526">
        <v>0</v>
      </c>
      <c r="AP112" s="3526" t="s">
        <v>3059</v>
      </c>
      <c r="AQ112" s="3526">
        <v>0</v>
      </c>
      <c r="AR112" s="3526">
        <v>0</v>
      </c>
    </row>
    <row r="113" spans="1:44" s="3292" customFormat="1" ht="14.25" hidden="1" customHeight="1">
      <c r="A113" s="3526" t="s">
        <v>3150</v>
      </c>
      <c r="B113" s="3526">
        <v>2018039008</v>
      </c>
      <c r="C113" s="3525" t="s">
        <v>3048</v>
      </c>
      <c r="D113" s="3525" t="s">
        <v>3049</v>
      </c>
      <c r="E113" s="3526" t="s">
        <v>3378</v>
      </c>
      <c r="F113" s="3525" t="s">
        <v>3151</v>
      </c>
      <c r="G113" s="3525" t="s">
        <v>3051</v>
      </c>
      <c r="H113" s="3526">
        <v>53385</v>
      </c>
      <c r="I113" s="3526">
        <v>74739</v>
      </c>
      <c r="J113" s="3526" t="s">
        <v>3459</v>
      </c>
      <c r="K113" s="3525" t="s">
        <v>3358</v>
      </c>
      <c r="L113" s="3526" t="s">
        <v>3465</v>
      </c>
      <c r="M113" s="3525" t="s">
        <v>3052</v>
      </c>
      <c r="N113" s="3525" t="s">
        <v>3053</v>
      </c>
      <c r="O113" s="3525" t="s">
        <v>3077</v>
      </c>
      <c r="P113" s="3525" t="s">
        <v>3056</v>
      </c>
      <c r="Q113" s="3525" t="s">
        <v>3056</v>
      </c>
      <c r="R113" s="3525" t="s">
        <v>3056</v>
      </c>
      <c r="S113" s="3525" t="s">
        <v>3056</v>
      </c>
      <c r="T113" s="3525" t="s">
        <v>3056</v>
      </c>
      <c r="U113" s="3525" t="s">
        <v>3056</v>
      </c>
      <c r="V113" s="3525" t="s">
        <v>3056</v>
      </c>
      <c r="W113" s="3525" t="s">
        <v>3056</v>
      </c>
      <c r="X113" s="3527">
        <v>43463.000497685185</v>
      </c>
      <c r="Y113" s="3527">
        <v>43483.000497685185</v>
      </c>
      <c r="Z113" s="3527">
        <v>43493.000497685185</v>
      </c>
      <c r="AA113" s="3528">
        <v>43493.000497685185</v>
      </c>
      <c r="AB113" s="3525" t="s">
        <v>3291</v>
      </c>
      <c r="AC113" s="3525" t="s">
        <v>3058</v>
      </c>
      <c r="AD113" s="3526" t="s">
        <v>3467</v>
      </c>
      <c r="AE113" s="3526" t="s">
        <v>2776</v>
      </c>
      <c r="AF113" s="3525">
        <v>2802.71</v>
      </c>
      <c r="AG113" s="3525">
        <v>600</v>
      </c>
      <c r="AH113" s="3525">
        <v>2802.71</v>
      </c>
      <c r="AI113" s="3525">
        <v>35</v>
      </c>
      <c r="AJ113" s="3526">
        <v>35</v>
      </c>
      <c r="AK113" s="3525">
        <v>375</v>
      </c>
      <c r="AL113" s="3526">
        <v>375</v>
      </c>
      <c r="AM113" s="3525" t="s">
        <v>3056</v>
      </c>
      <c r="AN113" s="3525" t="s">
        <v>3056</v>
      </c>
      <c r="AO113" s="3526">
        <v>0</v>
      </c>
      <c r="AP113" s="3526" t="s">
        <v>3059</v>
      </c>
      <c r="AQ113" s="3526">
        <v>0</v>
      </c>
      <c r="AR113" s="3526">
        <v>0</v>
      </c>
    </row>
    <row r="114" spans="1:44" s="3292" customFormat="1" ht="14.25" hidden="1" customHeight="1">
      <c r="A114" s="3526" t="s">
        <v>3150</v>
      </c>
      <c r="B114" s="3526">
        <v>2018039005</v>
      </c>
      <c r="C114" s="3525" t="s">
        <v>3048</v>
      </c>
      <c r="D114" s="3525" t="s">
        <v>3049</v>
      </c>
      <c r="E114" s="3526" t="s">
        <v>3483</v>
      </c>
      <c r="F114" s="3525" t="s">
        <v>3151</v>
      </c>
      <c r="G114" s="3525" t="s">
        <v>3051</v>
      </c>
      <c r="H114" s="3526">
        <v>54725</v>
      </c>
      <c r="I114" s="3526">
        <v>76615</v>
      </c>
      <c r="J114" s="3526" t="s">
        <v>3459</v>
      </c>
      <c r="K114" s="3525" t="s">
        <v>3358</v>
      </c>
      <c r="L114" s="3526" t="s">
        <v>3465</v>
      </c>
      <c r="M114" s="3525" t="s">
        <v>3052</v>
      </c>
      <c r="N114" s="3525" t="s">
        <v>3053</v>
      </c>
      <c r="O114" s="3525" t="s">
        <v>3077</v>
      </c>
      <c r="P114" s="3525" t="s">
        <v>3056</v>
      </c>
      <c r="Q114" s="3525" t="s">
        <v>3056</v>
      </c>
      <c r="R114" s="3525" t="s">
        <v>3056</v>
      </c>
      <c r="S114" s="3525" t="s">
        <v>3056</v>
      </c>
      <c r="T114" s="3525" t="s">
        <v>3056</v>
      </c>
      <c r="U114" s="3525" t="s">
        <v>3056</v>
      </c>
      <c r="V114" s="3525" t="s">
        <v>3056</v>
      </c>
      <c r="W114" s="3525" t="s">
        <v>3056</v>
      </c>
      <c r="X114" s="3527">
        <v>43463.000497685185</v>
      </c>
      <c r="Y114" s="3527">
        <v>43483.000497685185</v>
      </c>
      <c r="Z114" s="3527">
        <v>43493.000497685185</v>
      </c>
      <c r="AA114" s="3528">
        <v>43493.000497685185</v>
      </c>
      <c r="AB114" s="3525" t="s">
        <v>3292</v>
      </c>
      <c r="AC114" s="3525" t="s">
        <v>3058</v>
      </c>
      <c r="AD114" s="3526" t="s">
        <v>3467</v>
      </c>
      <c r="AE114" s="3526" t="s">
        <v>2776</v>
      </c>
      <c r="AF114" s="3525">
        <v>2873.05</v>
      </c>
      <c r="AG114" s="3525">
        <v>600</v>
      </c>
      <c r="AH114" s="3525">
        <v>2873.05</v>
      </c>
      <c r="AI114" s="3525">
        <v>35</v>
      </c>
      <c r="AJ114" s="3526">
        <v>35</v>
      </c>
      <c r="AK114" s="3525">
        <v>375</v>
      </c>
      <c r="AL114" s="3526">
        <v>375</v>
      </c>
      <c r="AM114" s="3525" t="s">
        <v>3056</v>
      </c>
      <c r="AN114" s="3525" t="s">
        <v>3056</v>
      </c>
      <c r="AO114" s="3526">
        <v>0</v>
      </c>
      <c r="AP114" s="3526" t="s">
        <v>3059</v>
      </c>
      <c r="AQ114" s="3526">
        <v>0</v>
      </c>
      <c r="AR114" s="3526">
        <v>0</v>
      </c>
    </row>
    <row r="115" spans="1:44" s="3292" customFormat="1" ht="14.25" hidden="1" customHeight="1">
      <c r="A115" s="3526" t="s">
        <v>3150</v>
      </c>
      <c r="B115" s="3526">
        <v>2018038005</v>
      </c>
      <c r="C115" s="3525" t="s">
        <v>3048</v>
      </c>
      <c r="D115" s="3525" t="s">
        <v>3049</v>
      </c>
      <c r="E115" s="3526" t="s">
        <v>3378</v>
      </c>
      <c r="F115" s="3525" t="s">
        <v>3151</v>
      </c>
      <c r="G115" s="3525" t="s">
        <v>3051</v>
      </c>
      <c r="H115" s="3526">
        <v>51076</v>
      </c>
      <c r="I115" s="3526">
        <v>71506.399999999994</v>
      </c>
      <c r="J115" s="3526" t="s">
        <v>3459</v>
      </c>
      <c r="K115" s="3525" t="s">
        <v>3358</v>
      </c>
      <c r="L115" s="3526" t="s">
        <v>3465</v>
      </c>
      <c r="M115" s="3525" t="s">
        <v>3052</v>
      </c>
      <c r="N115" s="3525" t="s">
        <v>3053</v>
      </c>
      <c r="O115" s="3525" t="s">
        <v>3077</v>
      </c>
      <c r="P115" s="3525" t="s">
        <v>3056</v>
      </c>
      <c r="Q115" s="3525" t="s">
        <v>3056</v>
      </c>
      <c r="R115" s="3525" t="s">
        <v>3056</v>
      </c>
      <c r="S115" s="3525" t="s">
        <v>3056</v>
      </c>
      <c r="T115" s="3525" t="s">
        <v>3056</v>
      </c>
      <c r="U115" s="3525" t="s">
        <v>3056</v>
      </c>
      <c r="V115" s="3525" t="s">
        <v>3056</v>
      </c>
      <c r="W115" s="3525" t="s">
        <v>3056</v>
      </c>
      <c r="X115" s="3527">
        <v>43463.000497685185</v>
      </c>
      <c r="Y115" s="3527">
        <v>43483.000497685185</v>
      </c>
      <c r="Z115" s="3527">
        <v>43493.000497685185</v>
      </c>
      <c r="AA115" s="3528">
        <v>43493.000497685185</v>
      </c>
      <c r="AB115" s="3525" t="s">
        <v>3293</v>
      </c>
      <c r="AC115" s="3525" t="s">
        <v>3058</v>
      </c>
      <c r="AD115" s="3526" t="s">
        <v>3467</v>
      </c>
      <c r="AE115" s="3526" t="s">
        <v>2776</v>
      </c>
      <c r="AF115" s="3525">
        <v>2681.48</v>
      </c>
      <c r="AG115" s="3525">
        <v>600</v>
      </c>
      <c r="AH115" s="3525">
        <v>2681.48</v>
      </c>
      <c r="AI115" s="3525">
        <v>35</v>
      </c>
      <c r="AJ115" s="3526">
        <v>35</v>
      </c>
      <c r="AK115" s="3525">
        <v>375</v>
      </c>
      <c r="AL115" s="3526">
        <v>375</v>
      </c>
      <c r="AM115" s="3525" t="s">
        <v>3056</v>
      </c>
      <c r="AN115" s="3525" t="s">
        <v>3056</v>
      </c>
      <c r="AO115" s="3526">
        <v>0</v>
      </c>
      <c r="AP115" s="3526" t="s">
        <v>3059</v>
      </c>
      <c r="AQ115" s="3526">
        <v>0</v>
      </c>
      <c r="AR115" s="3526">
        <v>0</v>
      </c>
    </row>
    <row r="116" spans="1:44" ht="14.25">
      <c r="A116" s="3525" t="s">
        <v>3294</v>
      </c>
      <c r="B116" s="3525">
        <v>2018037001</v>
      </c>
      <c r="C116" s="3525" t="s">
        <v>3048</v>
      </c>
      <c r="D116" s="3525" t="s">
        <v>3049</v>
      </c>
      <c r="E116" s="3525" t="s">
        <v>3382</v>
      </c>
      <c r="F116" s="3525" t="s">
        <v>3295</v>
      </c>
      <c r="G116" s="3525" t="s">
        <v>3051</v>
      </c>
      <c r="H116" s="3525">
        <v>42088</v>
      </c>
      <c r="I116" s="3525">
        <v>71549.600000000006</v>
      </c>
      <c r="J116" s="3525" t="s">
        <v>3468</v>
      </c>
      <c r="K116" s="3525" t="s">
        <v>3358</v>
      </c>
      <c r="L116" s="3525" t="s">
        <v>3465</v>
      </c>
      <c r="M116" s="3525" t="s">
        <v>3052</v>
      </c>
      <c r="N116" s="3525" t="s">
        <v>3053</v>
      </c>
      <c r="O116" s="3525" t="s">
        <v>3056</v>
      </c>
      <c r="P116" s="3525" t="s">
        <v>3056</v>
      </c>
      <c r="Q116" s="3525" t="s">
        <v>3056</v>
      </c>
      <c r="R116" s="3525" t="s">
        <v>3056</v>
      </c>
      <c r="S116" s="3525" t="s">
        <v>3056</v>
      </c>
      <c r="T116" s="3525" t="s">
        <v>3056</v>
      </c>
      <c r="U116" s="3525" t="s">
        <v>3056</v>
      </c>
      <c r="V116" s="3525" t="s">
        <v>3056</v>
      </c>
      <c r="W116" s="3525" t="s">
        <v>3056</v>
      </c>
      <c r="X116" s="3527">
        <v>43463.000497685185</v>
      </c>
      <c r="Y116" s="3527">
        <v>43482.000497685185</v>
      </c>
      <c r="Z116" s="3527">
        <v>43493.000497685185</v>
      </c>
      <c r="AA116" s="3527">
        <v>43493.000497685185</v>
      </c>
      <c r="AB116" s="3525" t="s">
        <v>3296</v>
      </c>
      <c r="AC116" s="3525" t="s">
        <v>3058</v>
      </c>
      <c r="AD116" s="3525" t="s">
        <v>3469</v>
      </c>
      <c r="AE116" s="3525" t="s">
        <v>2776</v>
      </c>
      <c r="AF116" s="3525">
        <v>23569.27</v>
      </c>
      <c r="AG116" s="3525">
        <v>10000</v>
      </c>
      <c r="AH116" s="3525">
        <v>35353.910000000003</v>
      </c>
      <c r="AI116" s="3525">
        <v>373.33</v>
      </c>
      <c r="AJ116" s="3525">
        <v>560</v>
      </c>
      <c r="AK116" s="3525">
        <v>3294</v>
      </c>
      <c r="AL116" s="3525">
        <v>4941</v>
      </c>
      <c r="AM116" s="3525" t="s">
        <v>3056</v>
      </c>
      <c r="AN116" s="3525" t="s">
        <v>3056</v>
      </c>
      <c r="AO116" s="3525">
        <v>50</v>
      </c>
      <c r="AP116" s="3525" t="s">
        <v>3059</v>
      </c>
      <c r="AQ116" s="3525">
        <v>0</v>
      </c>
      <c r="AR116" s="3525">
        <v>0</v>
      </c>
    </row>
    <row r="117" spans="1:44" s="3292" customFormat="1" ht="14.25" hidden="1" customHeight="1">
      <c r="A117" s="3526" t="s">
        <v>3150</v>
      </c>
      <c r="B117" s="3526">
        <v>2018039002</v>
      </c>
      <c r="C117" s="3525" t="s">
        <v>3048</v>
      </c>
      <c r="D117" s="3525" t="s">
        <v>3049</v>
      </c>
      <c r="E117" s="3526" t="s">
        <v>3378</v>
      </c>
      <c r="F117" s="3525" t="s">
        <v>3151</v>
      </c>
      <c r="G117" s="3525" t="s">
        <v>3051</v>
      </c>
      <c r="H117" s="3526">
        <v>49924</v>
      </c>
      <c r="I117" s="3526">
        <v>69893.600000000006</v>
      </c>
      <c r="J117" s="3526" t="s">
        <v>3459</v>
      </c>
      <c r="K117" s="3525" t="s">
        <v>3358</v>
      </c>
      <c r="L117" s="3526" t="s">
        <v>3465</v>
      </c>
      <c r="M117" s="3525" t="s">
        <v>3052</v>
      </c>
      <c r="N117" s="3525" t="s">
        <v>3053</v>
      </c>
      <c r="O117" s="3525" t="s">
        <v>3077</v>
      </c>
      <c r="P117" s="3525" t="s">
        <v>3056</v>
      </c>
      <c r="Q117" s="3525" t="s">
        <v>3056</v>
      </c>
      <c r="R117" s="3525" t="s">
        <v>3056</v>
      </c>
      <c r="S117" s="3525" t="s">
        <v>3056</v>
      </c>
      <c r="T117" s="3525" t="s">
        <v>3056</v>
      </c>
      <c r="U117" s="3525" t="s">
        <v>3056</v>
      </c>
      <c r="V117" s="3525" t="s">
        <v>3056</v>
      </c>
      <c r="W117" s="3525" t="s">
        <v>3056</v>
      </c>
      <c r="X117" s="3527">
        <v>43463.000497685185</v>
      </c>
      <c r="Y117" s="3527">
        <v>43483.000497685185</v>
      </c>
      <c r="Z117" s="3527">
        <v>43493.000497685185</v>
      </c>
      <c r="AA117" s="3528">
        <v>43493.000497685185</v>
      </c>
      <c r="AB117" s="3525" t="s">
        <v>3297</v>
      </c>
      <c r="AC117" s="3525" t="s">
        <v>3058</v>
      </c>
      <c r="AD117" s="3526" t="s">
        <v>3467</v>
      </c>
      <c r="AE117" s="3526" t="s">
        <v>2776</v>
      </c>
      <c r="AF117" s="3525">
        <v>2621.0100000000002</v>
      </c>
      <c r="AG117" s="3525">
        <v>600</v>
      </c>
      <c r="AH117" s="3525">
        <v>2621.0100000000002</v>
      </c>
      <c r="AI117" s="3525">
        <v>35</v>
      </c>
      <c r="AJ117" s="3526">
        <v>35</v>
      </c>
      <c r="AK117" s="3525">
        <v>375</v>
      </c>
      <c r="AL117" s="3526">
        <v>375</v>
      </c>
      <c r="AM117" s="3525" t="s">
        <v>3056</v>
      </c>
      <c r="AN117" s="3525" t="s">
        <v>3056</v>
      </c>
      <c r="AO117" s="3526">
        <v>0</v>
      </c>
      <c r="AP117" s="3526" t="s">
        <v>3059</v>
      </c>
      <c r="AQ117" s="3526">
        <v>0</v>
      </c>
      <c r="AR117" s="3526">
        <v>0</v>
      </c>
    </row>
    <row r="118" spans="1:44" s="3292" customFormat="1" ht="14.25" hidden="1" customHeight="1">
      <c r="A118" s="3526" t="s">
        <v>3150</v>
      </c>
      <c r="B118" s="3526">
        <v>2018038004</v>
      </c>
      <c r="C118" s="3525" t="s">
        <v>3048</v>
      </c>
      <c r="D118" s="3525" t="s">
        <v>3049</v>
      </c>
      <c r="E118" s="3526" t="s">
        <v>3378</v>
      </c>
      <c r="F118" s="3525" t="s">
        <v>3151</v>
      </c>
      <c r="G118" s="3525" t="s">
        <v>3051</v>
      </c>
      <c r="H118" s="3526">
        <v>54856</v>
      </c>
      <c r="I118" s="3526">
        <v>76798.399999999994</v>
      </c>
      <c r="J118" s="3526" t="s">
        <v>3459</v>
      </c>
      <c r="K118" s="3525" t="s">
        <v>3358</v>
      </c>
      <c r="L118" s="3526" t="s">
        <v>3465</v>
      </c>
      <c r="M118" s="3525" t="s">
        <v>3052</v>
      </c>
      <c r="N118" s="3525" t="s">
        <v>3053</v>
      </c>
      <c r="O118" s="3525" t="s">
        <v>3077</v>
      </c>
      <c r="P118" s="3525" t="s">
        <v>3056</v>
      </c>
      <c r="Q118" s="3525" t="s">
        <v>3056</v>
      </c>
      <c r="R118" s="3525" t="s">
        <v>3056</v>
      </c>
      <c r="S118" s="3525" t="s">
        <v>3056</v>
      </c>
      <c r="T118" s="3525" t="s">
        <v>3056</v>
      </c>
      <c r="U118" s="3525" t="s">
        <v>3056</v>
      </c>
      <c r="V118" s="3525" t="s">
        <v>3056</v>
      </c>
      <c r="W118" s="3525" t="s">
        <v>3056</v>
      </c>
      <c r="X118" s="3527">
        <v>43463.000497685185</v>
      </c>
      <c r="Y118" s="3527">
        <v>43483.000497685185</v>
      </c>
      <c r="Z118" s="3527">
        <v>43493.000497685185</v>
      </c>
      <c r="AA118" s="3528">
        <v>43493.000497685185</v>
      </c>
      <c r="AB118" s="3525" t="s">
        <v>3298</v>
      </c>
      <c r="AC118" s="3525" t="s">
        <v>3058</v>
      </c>
      <c r="AD118" s="3526" t="s">
        <v>3467</v>
      </c>
      <c r="AE118" s="3526" t="s">
        <v>2776</v>
      </c>
      <c r="AF118" s="3525">
        <v>2879.94</v>
      </c>
      <c r="AG118" s="3525">
        <v>600</v>
      </c>
      <c r="AH118" s="3525">
        <v>2879.94</v>
      </c>
      <c r="AI118" s="3525">
        <v>35</v>
      </c>
      <c r="AJ118" s="3526">
        <v>35</v>
      </c>
      <c r="AK118" s="3525">
        <v>375</v>
      </c>
      <c r="AL118" s="3526">
        <v>375</v>
      </c>
      <c r="AM118" s="3525" t="s">
        <v>3056</v>
      </c>
      <c r="AN118" s="3525" t="s">
        <v>3056</v>
      </c>
      <c r="AO118" s="3526">
        <v>0</v>
      </c>
      <c r="AP118" s="3526" t="s">
        <v>3059</v>
      </c>
      <c r="AQ118" s="3526">
        <v>0</v>
      </c>
      <c r="AR118" s="3526">
        <v>0</v>
      </c>
    </row>
    <row r="119" spans="1:44" s="3292" customFormat="1" ht="14.25" hidden="1" customHeight="1">
      <c r="A119" s="3526" t="s">
        <v>3150</v>
      </c>
      <c r="B119" s="3526">
        <v>2018038003</v>
      </c>
      <c r="C119" s="3525" t="s">
        <v>3048</v>
      </c>
      <c r="D119" s="3525" t="s">
        <v>3049</v>
      </c>
      <c r="E119" s="3526" t="s">
        <v>3378</v>
      </c>
      <c r="F119" s="3525" t="s">
        <v>3151</v>
      </c>
      <c r="G119" s="3525" t="s">
        <v>3051</v>
      </c>
      <c r="H119" s="3526">
        <v>53644</v>
      </c>
      <c r="I119" s="3526">
        <v>75101.600000000006</v>
      </c>
      <c r="J119" s="3526" t="s">
        <v>3459</v>
      </c>
      <c r="K119" s="3525" t="s">
        <v>3358</v>
      </c>
      <c r="L119" s="3526" t="s">
        <v>3465</v>
      </c>
      <c r="M119" s="3525" t="s">
        <v>3052</v>
      </c>
      <c r="N119" s="3525" t="s">
        <v>3053</v>
      </c>
      <c r="O119" s="3525" t="s">
        <v>3077</v>
      </c>
      <c r="P119" s="3525" t="s">
        <v>3056</v>
      </c>
      <c r="Q119" s="3525" t="s">
        <v>3056</v>
      </c>
      <c r="R119" s="3525" t="s">
        <v>3056</v>
      </c>
      <c r="S119" s="3525" t="s">
        <v>3056</v>
      </c>
      <c r="T119" s="3525" t="s">
        <v>3056</v>
      </c>
      <c r="U119" s="3525" t="s">
        <v>3056</v>
      </c>
      <c r="V119" s="3525" t="s">
        <v>3056</v>
      </c>
      <c r="W119" s="3525" t="s">
        <v>3056</v>
      </c>
      <c r="X119" s="3527">
        <v>43463.000497685185</v>
      </c>
      <c r="Y119" s="3527">
        <v>43483.000497685185</v>
      </c>
      <c r="Z119" s="3527">
        <v>43493.000497685185</v>
      </c>
      <c r="AA119" s="3528">
        <v>43493.000497685185</v>
      </c>
      <c r="AB119" s="3525" t="s">
        <v>3299</v>
      </c>
      <c r="AC119" s="3525" t="s">
        <v>3058</v>
      </c>
      <c r="AD119" s="3526" t="s">
        <v>3467</v>
      </c>
      <c r="AE119" s="3526" t="s">
        <v>2776</v>
      </c>
      <c r="AF119" s="3525">
        <v>2816.3</v>
      </c>
      <c r="AG119" s="3525">
        <v>600</v>
      </c>
      <c r="AH119" s="3525">
        <v>2816.3</v>
      </c>
      <c r="AI119" s="3525">
        <v>35</v>
      </c>
      <c r="AJ119" s="3526">
        <v>35</v>
      </c>
      <c r="AK119" s="3525">
        <v>375</v>
      </c>
      <c r="AL119" s="3526">
        <v>375</v>
      </c>
      <c r="AM119" s="3525" t="s">
        <v>3056</v>
      </c>
      <c r="AN119" s="3525" t="s">
        <v>3056</v>
      </c>
      <c r="AO119" s="3526">
        <v>0</v>
      </c>
      <c r="AP119" s="3526" t="s">
        <v>3059</v>
      </c>
      <c r="AQ119" s="3526">
        <v>0</v>
      </c>
      <c r="AR119" s="3526">
        <v>0</v>
      </c>
    </row>
    <row r="120" spans="1:44" s="3292" customFormat="1" ht="14.25" hidden="1" customHeight="1">
      <c r="A120" s="3526" t="s">
        <v>3150</v>
      </c>
      <c r="B120" s="3526">
        <v>2018039004</v>
      </c>
      <c r="C120" s="3525" t="s">
        <v>3048</v>
      </c>
      <c r="D120" s="3525" t="s">
        <v>3049</v>
      </c>
      <c r="E120" s="3526" t="s">
        <v>3378</v>
      </c>
      <c r="F120" s="3525" t="s">
        <v>3151</v>
      </c>
      <c r="G120" s="3525" t="s">
        <v>3051</v>
      </c>
      <c r="H120" s="3526">
        <v>46434</v>
      </c>
      <c r="I120" s="3526">
        <v>65007.6</v>
      </c>
      <c r="J120" s="3526" t="s">
        <v>3459</v>
      </c>
      <c r="K120" s="3525" t="s">
        <v>3358</v>
      </c>
      <c r="L120" s="3526" t="s">
        <v>3465</v>
      </c>
      <c r="M120" s="3525" t="s">
        <v>3052</v>
      </c>
      <c r="N120" s="3525" t="s">
        <v>3053</v>
      </c>
      <c r="O120" s="3525" t="s">
        <v>3077</v>
      </c>
      <c r="P120" s="3525" t="s">
        <v>3056</v>
      </c>
      <c r="Q120" s="3525" t="s">
        <v>3056</v>
      </c>
      <c r="R120" s="3525" t="s">
        <v>3056</v>
      </c>
      <c r="S120" s="3525" t="s">
        <v>3056</v>
      </c>
      <c r="T120" s="3525" t="s">
        <v>3056</v>
      </c>
      <c r="U120" s="3525" t="s">
        <v>3056</v>
      </c>
      <c r="V120" s="3525" t="s">
        <v>3056</v>
      </c>
      <c r="W120" s="3525" t="s">
        <v>3056</v>
      </c>
      <c r="X120" s="3527">
        <v>43463.000497685185</v>
      </c>
      <c r="Y120" s="3527">
        <v>43483.000497685185</v>
      </c>
      <c r="Z120" s="3527">
        <v>43493.000497685185</v>
      </c>
      <c r="AA120" s="3528">
        <v>43493.000497685185</v>
      </c>
      <c r="AB120" s="3525" t="s">
        <v>3300</v>
      </c>
      <c r="AC120" s="3525" t="s">
        <v>3058</v>
      </c>
      <c r="AD120" s="3526" t="s">
        <v>3467</v>
      </c>
      <c r="AE120" s="3526" t="s">
        <v>2776</v>
      </c>
      <c r="AF120" s="3525">
        <v>2437.7800000000002</v>
      </c>
      <c r="AG120" s="3525">
        <v>500</v>
      </c>
      <c r="AH120" s="3525">
        <v>2437.7800000000002</v>
      </c>
      <c r="AI120" s="3525">
        <v>35</v>
      </c>
      <c r="AJ120" s="3526">
        <v>35</v>
      </c>
      <c r="AK120" s="3525">
        <v>375</v>
      </c>
      <c r="AL120" s="3526">
        <v>375</v>
      </c>
      <c r="AM120" s="3525" t="s">
        <v>3056</v>
      </c>
      <c r="AN120" s="3525" t="s">
        <v>3056</v>
      </c>
      <c r="AO120" s="3526">
        <v>0</v>
      </c>
      <c r="AP120" s="3526" t="s">
        <v>3059</v>
      </c>
      <c r="AQ120" s="3526">
        <v>0</v>
      </c>
      <c r="AR120" s="3526">
        <v>0</v>
      </c>
    </row>
    <row r="121" spans="1:44" s="3292" customFormat="1" ht="14.25" hidden="1" customHeight="1">
      <c r="A121" s="3526" t="s">
        <v>3150</v>
      </c>
      <c r="B121" s="3526">
        <v>2018039001</v>
      </c>
      <c r="C121" s="3525" t="s">
        <v>3048</v>
      </c>
      <c r="D121" s="3525" t="s">
        <v>3049</v>
      </c>
      <c r="E121" s="3526" t="s">
        <v>3378</v>
      </c>
      <c r="F121" s="3525" t="s">
        <v>3151</v>
      </c>
      <c r="G121" s="3525" t="s">
        <v>3051</v>
      </c>
      <c r="H121" s="3526">
        <v>61303</v>
      </c>
      <c r="I121" s="3526">
        <v>85824.2</v>
      </c>
      <c r="J121" s="3526" t="s">
        <v>3459</v>
      </c>
      <c r="K121" s="3525" t="s">
        <v>3358</v>
      </c>
      <c r="L121" s="3526" t="s">
        <v>3465</v>
      </c>
      <c r="M121" s="3525" t="s">
        <v>3052</v>
      </c>
      <c r="N121" s="3525" t="s">
        <v>3053</v>
      </c>
      <c r="O121" s="3525" t="s">
        <v>3077</v>
      </c>
      <c r="P121" s="3525" t="s">
        <v>3056</v>
      </c>
      <c r="Q121" s="3525" t="s">
        <v>3056</v>
      </c>
      <c r="R121" s="3525" t="s">
        <v>3056</v>
      </c>
      <c r="S121" s="3525" t="s">
        <v>3056</v>
      </c>
      <c r="T121" s="3525" t="s">
        <v>3056</v>
      </c>
      <c r="U121" s="3525" t="s">
        <v>3056</v>
      </c>
      <c r="V121" s="3525" t="s">
        <v>3056</v>
      </c>
      <c r="W121" s="3525" t="s">
        <v>3056</v>
      </c>
      <c r="X121" s="3527">
        <v>43463.000497685185</v>
      </c>
      <c r="Y121" s="3527">
        <v>43483.000497685185</v>
      </c>
      <c r="Z121" s="3527">
        <v>43493.000497685185</v>
      </c>
      <c r="AA121" s="3528">
        <v>43493.000497685185</v>
      </c>
      <c r="AB121" s="3525" t="s">
        <v>3301</v>
      </c>
      <c r="AC121" s="3525" t="s">
        <v>3058</v>
      </c>
      <c r="AD121" s="3526" t="s">
        <v>3467</v>
      </c>
      <c r="AE121" s="3526" t="s">
        <v>2776</v>
      </c>
      <c r="AF121" s="3525">
        <v>3218.4</v>
      </c>
      <c r="AG121" s="3525">
        <v>700</v>
      </c>
      <c r="AH121" s="3525">
        <v>3218.4</v>
      </c>
      <c r="AI121" s="3525">
        <v>35</v>
      </c>
      <c r="AJ121" s="3526">
        <v>35</v>
      </c>
      <c r="AK121" s="3525">
        <v>375</v>
      </c>
      <c r="AL121" s="3526">
        <v>375</v>
      </c>
      <c r="AM121" s="3525" t="s">
        <v>3056</v>
      </c>
      <c r="AN121" s="3525" t="s">
        <v>3056</v>
      </c>
      <c r="AO121" s="3526">
        <v>0</v>
      </c>
      <c r="AP121" s="3526" t="s">
        <v>3059</v>
      </c>
      <c r="AQ121" s="3526">
        <v>0</v>
      </c>
      <c r="AR121" s="3526">
        <v>0</v>
      </c>
    </row>
    <row r="122" spans="1:44" s="3292" customFormat="1" ht="14.25" hidden="1" customHeight="1">
      <c r="A122" s="3526" t="s">
        <v>3150</v>
      </c>
      <c r="B122" s="3526">
        <v>2018039003</v>
      </c>
      <c r="C122" s="3525" t="s">
        <v>3048</v>
      </c>
      <c r="D122" s="3525" t="s">
        <v>3049</v>
      </c>
      <c r="E122" s="3526" t="s">
        <v>3378</v>
      </c>
      <c r="F122" s="3525" t="s">
        <v>3151</v>
      </c>
      <c r="G122" s="3525" t="s">
        <v>3051</v>
      </c>
      <c r="H122" s="3526">
        <v>57092</v>
      </c>
      <c r="I122" s="3526">
        <v>79928.800000000003</v>
      </c>
      <c r="J122" s="3526" t="s">
        <v>3459</v>
      </c>
      <c r="K122" s="3525" t="s">
        <v>3358</v>
      </c>
      <c r="L122" s="3526" t="s">
        <v>3465</v>
      </c>
      <c r="M122" s="3525" t="s">
        <v>3052</v>
      </c>
      <c r="N122" s="3525" t="s">
        <v>3053</v>
      </c>
      <c r="O122" s="3525" t="s">
        <v>3077</v>
      </c>
      <c r="P122" s="3525" t="s">
        <v>3056</v>
      </c>
      <c r="Q122" s="3525" t="s">
        <v>3056</v>
      </c>
      <c r="R122" s="3525" t="s">
        <v>3056</v>
      </c>
      <c r="S122" s="3525" t="s">
        <v>3056</v>
      </c>
      <c r="T122" s="3525" t="s">
        <v>3056</v>
      </c>
      <c r="U122" s="3525" t="s">
        <v>3056</v>
      </c>
      <c r="V122" s="3525" t="s">
        <v>3056</v>
      </c>
      <c r="W122" s="3525" t="s">
        <v>3056</v>
      </c>
      <c r="X122" s="3527">
        <v>43463.000497685185</v>
      </c>
      <c r="Y122" s="3527">
        <v>43483.000497685185</v>
      </c>
      <c r="Z122" s="3527">
        <v>43493.000497685185</v>
      </c>
      <c r="AA122" s="3528">
        <v>43493.000497685185</v>
      </c>
      <c r="AB122" s="3525" t="s">
        <v>3302</v>
      </c>
      <c r="AC122" s="3525" t="s">
        <v>3058</v>
      </c>
      <c r="AD122" s="3526" t="s">
        <v>3467</v>
      </c>
      <c r="AE122" s="3526" t="s">
        <v>2776</v>
      </c>
      <c r="AF122" s="3525">
        <v>2997.32</v>
      </c>
      <c r="AG122" s="3525">
        <v>600</v>
      </c>
      <c r="AH122" s="3525">
        <v>2997.32</v>
      </c>
      <c r="AI122" s="3525">
        <v>35</v>
      </c>
      <c r="AJ122" s="3526">
        <v>35</v>
      </c>
      <c r="AK122" s="3525">
        <v>375</v>
      </c>
      <c r="AL122" s="3526">
        <v>375</v>
      </c>
      <c r="AM122" s="3525" t="s">
        <v>3056</v>
      </c>
      <c r="AN122" s="3525" t="s">
        <v>3056</v>
      </c>
      <c r="AO122" s="3526">
        <v>0</v>
      </c>
      <c r="AP122" s="3526" t="s">
        <v>3059</v>
      </c>
      <c r="AQ122" s="3526">
        <v>0</v>
      </c>
      <c r="AR122" s="3526">
        <v>0</v>
      </c>
    </row>
    <row r="123" spans="1:44" s="3292" customFormat="1" ht="14.25" hidden="1" customHeight="1">
      <c r="A123" s="3526" t="s">
        <v>3170</v>
      </c>
      <c r="B123" s="3526">
        <v>2018034001</v>
      </c>
      <c r="C123" s="3525" t="s">
        <v>3048</v>
      </c>
      <c r="D123" s="3525" t="s">
        <v>3049</v>
      </c>
      <c r="E123" s="3526" t="s">
        <v>3423</v>
      </c>
      <c r="F123" s="3525" t="s">
        <v>3171</v>
      </c>
      <c r="G123" s="3525" t="s">
        <v>3051</v>
      </c>
      <c r="H123" s="3526">
        <v>12013</v>
      </c>
      <c r="I123" s="3526">
        <v>38441.599999999999</v>
      </c>
      <c r="J123" s="3526" t="s">
        <v>3461</v>
      </c>
      <c r="K123" s="3525" t="s">
        <v>3358</v>
      </c>
      <c r="L123" s="3526" t="s">
        <v>3465</v>
      </c>
      <c r="M123" s="3525" t="s">
        <v>3052</v>
      </c>
      <c r="N123" s="3525" t="s">
        <v>3053</v>
      </c>
      <c r="O123" s="3525" t="s">
        <v>3280</v>
      </c>
      <c r="P123" s="3525" t="s">
        <v>3056</v>
      </c>
      <c r="Q123" s="3525" t="s">
        <v>3056</v>
      </c>
      <c r="R123" s="3525" t="s">
        <v>3056</v>
      </c>
      <c r="S123" s="3525" t="s">
        <v>3056</v>
      </c>
      <c r="T123" s="3525" t="s">
        <v>3056</v>
      </c>
      <c r="U123" s="3525" t="s">
        <v>3056</v>
      </c>
      <c r="V123" s="3525" t="s">
        <v>3056</v>
      </c>
      <c r="W123" s="3525" t="s">
        <v>3056</v>
      </c>
      <c r="X123" s="3527">
        <v>43461.000497685185</v>
      </c>
      <c r="Y123" s="3527">
        <v>43482.000497685185</v>
      </c>
      <c r="Z123" s="3527">
        <v>43493.000497685185</v>
      </c>
      <c r="AA123" s="3528">
        <v>43493.000497685185</v>
      </c>
      <c r="AB123" s="3525" t="s">
        <v>3303</v>
      </c>
      <c r="AC123" s="3525" t="s">
        <v>3058</v>
      </c>
      <c r="AD123" s="3526" t="s">
        <v>3425</v>
      </c>
      <c r="AE123" s="3526" t="s">
        <v>2776</v>
      </c>
      <c r="AF123" s="3525">
        <v>8649.36</v>
      </c>
      <c r="AG123" s="3525">
        <v>1800</v>
      </c>
      <c r="AH123" s="3525">
        <v>8649.36</v>
      </c>
      <c r="AI123" s="3525">
        <v>480</v>
      </c>
      <c r="AJ123" s="3526">
        <v>480</v>
      </c>
      <c r="AK123" s="3525">
        <v>2250</v>
      </c>
      <c r="AL123" s="3526">
        <v>2250</v>
      </c>
      <c r="AM123" s="3525" t="s">
        <v>3056</v>
      </c>
      <c r="AN123" s="3525" t="s">
        <v>3056</v>
      </c>
      <c r="AO123" s="3526">
        <v>0</v>
      </c>
      <c r="AP123" s="3526" t="s">
        <v>3059</v>
      </c>
      <c r="AQ123" s="3526">
        <v>0</v>
      </c>
      <c r="AR123" s="3526">
        <v>0</v>
      </c>
    </row>
    <row r="124" spans="1:44" s="3292" customFormat="1" ht="14.25" hidden="1" customHeight="1">
      <c r="A124" s="3526" t="s">
        <v>3304</v>
      </c>
      <c r="B124" s="3526">
        <v>2018034003</v>
      </c>
      <c r="C124" s="3525" t="s">
        <v>3048</v>
      </c>
      <c r="D124" s="3525" t="s">
        <v>3049</v>
      </c>
      <c r="E124" s="3526" t="s">
        <v>3423</v>
      </c>
      <c r="F124" s="3525" t="s">
        <v>3305</v>
      </c>
      <c r="G124" s="3525" t="s">
        <v>3051</v>
      </c>
      <c r="H124" s="3526">
        <v>11470</v>
      </c>
      <c r="I124" s="3526">
        <v>36704</v>
      </c>
      <c r="J124" s="3526" t="s">
        <v>3461</v>
      </c>
      <c r="K124" s="3525" t="s">
        <v>3358</v>
      </c>
      <c r="L124" s="3526" t="s">
        <v>3465</v>
      </c>
      <c r="M124" s="3525" t="s">
        <v>3052</v>
      </c>
      <c r="N124" s="3525" t="s">
        <v>3053</v>
      </c>
      <c r="O124" s="3525" t="s">
        <v>3280</v>
      </c>
      <c r="P124" s="3525" t="s">
        <v>3056</v>
      </c>
      <c r="Q124" s="3525" t="s">
        <v>3056</v>
      </c>
      <c r="R124" s="3525" t="s">
        <v>3056</v>
      </c>
      <c r="S124" s="3525" t="s">
        <v>3056</v>
      </c>
      <c r="T124" s="3525" t="s">
        <v>3056</v>
      </c>
      <c r="U124" s="3525" t="s">
        <v>3056</v>
      </c>
      <c r="V124" s="3525" t="s">
        <v>3056</v>
      </c>
      <c r="W124" s="3525" t="s">
        <v>3056</v>
      </c>
      <c r="X124" s="3527">
        <v>43461.000497685185</v>
      </c>
      <c r="Y124" s="3527">
        <v>43482.000497685185</v>
      </c>
      <c r="Z124" s="3527">
        <v>43493.000497685185</v>
      </c>
      <c r="AA124" s="3528">
        <v>43493.000497685185</v>
      </c>
      <c r="AB124" s="3525" t="s">
        <v>3306</v>
      </c>
      <c r="AC124" s="3525" t="s">
        <v>3058</v>
      </c>
      <c r="AD124" s="3526" t="s">
        <v>3425</v>
      </c>
      <c r="AE124" s="3526" t="s">
        <v>2776</v>
      </c>
      <c r="AF124" s="3525">
        <v>8258.39</v>
      </c>
      <c r="AG124" s="3525">
        <v>1700</v>
      </c>
      <c r="AH124" s="3525">
        <v>8258.39</v>
      </c>
      <c r="AI124" s="3525">
        <v>480</v>
      </c>
      <c r="AJ124" s="3526">
        <v>480</v>
      </c>
      <c r="AK124" s="3525">
        <v>2250</v>
      </c>
      <c r="AL124" s="3526">
        <v>2250</v>
      </c>
      <c r="AM124" s="3525" t="s">
        <v>3056</v>
      </c>
      <c r="AN124" s="3525" t="s">
        <v>3056</v>
      </c>
      <c r="AO124" s="3526">
        <v>0</v>
      </c>
      <c r="AP124" s="3526" t="s">
        <v>3059</v>
      </c>
      <c r="AQ124" s="3526">
        <v>0</v>
      </c>
      <c r="AR124" s="3526">
        <v>0</v>
      </c>
    </row>
    <row r="125" spans="1:44" ht="14.25">
      <c r="A125" s="3525" t="s">
        <v>3307</v>
      </c>
      <c r="B125" s="3525">
        <v>2018036001</v>
      </c>
      <c r="C125" s="3525" t="s">
        <v>3048</v>
      </c>
      <c r="D125" s="3525" t="s">
        <v>3049</v>
      </c>
      <c r="E125" s="3525" t="s">
        <v>3382</v>
      </c>
      <c r="F125" s="3525" t="s">
        <v>3308</v>
      </c>
      <c r="G125" s="3525" t="s">
        <v>3051</v>
      </c>
      <c r="H125" s="3525">
        <v>57633</v>
      </c>
      <c r="I125" s="3525">
        <v>149845.79999999999</v>
      </c>
      <c r="J125" s="3525" t="s">
        <v>3470</v>
      </c>
      <c r="K125" s="3525" t="s">
        <v>3358</v>
      </c>
      <c r="L125" s="3525" t="s">
        <v>3465</v>
      </c>
      <c r="M125" s="3525" t="s">
        <v>3052</v>
      </c>
      <c r="N125" s="3525" t="s">
        <v>3053</v>
      </c>
      <c r="O125" s="3525" t="s">
        <v>3056</v>
      </c>
      <c r="P125" s="3525" t="s">
        <v>3056</v>
      </c>
      <c r="Q125" s="3525" t="s">
        <v>3056</v>
      </c>
      <c r="R125" s="3525" t="s">
        <v>3056</v>
      </c>
      <c r="S125" s="3525" t="s">
        <v>3056</v>
      </c>
      <c r="T125" s="3525" t="s">
        <v>3056</v>
      </c>
      <c r="U125" s="3525" t="s">
        <v>3056</v>
      </c>
      <c r="V125" s="3525" t="s">
        <v>3056</v>
      </c>
      <c r="W125" s="3525" t="s">
        <v>3056</v>
      </c>
      <c r="X125" s="3527">
        <v>43463.000497685185</v>
      </c>
      <c r="Y125" s="3527">
        <v>43483.000497685185</v>
      </c>
      <c r="Z125" s="3527">
        <v>43493.000497685185</v>
      </c>
      <c r="AA125" s="3527">
        <v>43493.000497685185</v>
      </c>
      <c r="AB125" s="3525" t="s">
        <v>3309</v>
      </c>
      <c r="AC125" s="3525" t="s">
        <v>3058</v>
      </c>
      <c r="AD125" s="3525" t="s">
        <v>3471</v>
      </c>
      <c r="AE125" s="3525" t="s">
        <v>3387</v>
      </c>
      <c r="AF125" s="3525">
        <v>50140.7</v>
      </c>
      <c r="AG125" s="3525">
        <v>20000</v>
      </c>
      <c r="AH125" s="3525">
        <v>50140.7</v>
      </c>
      <c r="AI125" s="3525">
        <v>580</v>
      </c>
      <c r="AJ125" s="3525">
        <v>580</v>
      </c>
      <c r="AK125" s="3525">
        <v>3346</v>
      </c>
      <c r="AL125" s="3525">
        <v>3346</v>
      </c>
      <c r="AM125" s="3525" t="s">
        <v>3056</v>
      </c>
      <c r="AN125" s="3525" t="s">
        <v>3056</v>
      </c>
      <c r="AO125" s="3525">
        <v>0</v>
      </c>
      <c r="AP125" s="3525" t="s">
        <v>3059</v>
      </c>
      <c r="AQ125" s="3525">
        <v>0</v>
      </c>
      <c r="AR125" s="3525">
        <v>0</v>
      </c>
    </row>
    <row r="126" spans="1:44" s="3292" customFormat="1" ht="14.25" hidden="1" customHeight="1">
      <c r="A126" s="3526" t="s">
        <v>3150</v>
      </c>
      <c r="B126" s="3526">
        <v>2018039007</v>
      </c>
      <c r="C126" s="3525" t="s">
        <v>3048</v>
      </c>
      <c r="D126" s="3525" t="s">
        <v>3049</v>
      </c>
      <c r="E126" s="3526" t="s">
        <v>3378</v>
      </c>
      <c r="F126" s="3525" t="s">
        <v>3151</v>
      </c>
      <c r="G126" s="3525" t="s">
        <v>3051</v>
      </c>
      <c r="H126" s="3526">
        <v>63201</v>
      </c>
      <c r="I126" s="3526">
        <v>88481.4</v>
      </c>
      <c r="J126" s="3526" t="s">
        <v>3459</v>
      </c>
      <c r="K126" s="3525" t="s">
        <v>3358</v>
      </c>
      <c r="L126" s="3526" t="s">
        <v>3465</v>
      </c>
      <c r="M126" s="3525" t="s">
        <v>3052</v>
      </c>
      <c r="N126" s="3525" t="s">
        <v>3053</v>
      </c>
      <c r="O126" s="3525" t="s">
        <v>3077</v>
      </c>
      <c r="P126" s="3525" t="s">
        <v>3056</v>
      </c>
      <c r="Q126" s="3525" t="s">
        <v>3056</v>
      </c>
      <c r="R126" s="3525" t="s">
        <v>3056</v>
      </c>
      <c r="S126" s="3525" t="s">
        <v>3056</v>
      </c>
      <c r="T126" s="3525" t="s">
        <v>3056</v>
      </c>
      <c r="U126" s="3525" t="s">
        <v>3056</v>
      </c>
      <c r="V126" s="3525" t="s">
        <v>3056</v>
      </c>
      <c r="W126" s="3525" t="s">
        <v>3056</v>
      </c>
      <c r="X126" s="3527">
        <v>43463.000497685185</v>
      </c>
      <c r="Y126" s="3527">
        <v>43483.000497685185</v>
      </c>
      <c r="Z126" s="3527">
        <v>43493.000497685185</v>
      </c>
      <c r="AA126" s="3528">
        <v>43493.000497685185</v>
      </c>
      <c r="AB126" s="3525" t="s">
        <v>3310</v>
      </c>
      <c r="AC126" s="3525" t="s">
        <v>3058</v>
      </c>
      <c r="AD126" s="3526" t="s">
        <v>3467</v>
      </c>
      <c r="AE126" s="3526" t="s">
        <v>2776</v>
      </c>
      <c r="AF126" s="3525">
        <v>3318.05</v>
      </c>
      <c r="AG126" s="3525">
        <v>700</v>
      </c>
      <c r="AH126" s="3525">
        <v>3318.05</v>
      </c>
      <c r="AI126" s="3525">
        <v>35</v>
      </c>
      <c r="AJ126" s="3526">
        <v>35</v>
      </c>
      <c r="AK126" s="3525">
        <v>375</v>
      </c>
      <c r="AL126" s="3526">
        <v>375</v>
      </c>
      <c r="AM126" s="3525" t="s">
        <v>3056</v>
      </c>
      <c r="AN126" s="3525" t="s">
        <v>3056</v>
      </c>
      <c r="AO126" s="3526">
        <v>0</v>
      </c>
      <c r="AP126" s="3526" t="s">
        <v>3059</v>
      </c>
      <c r="AQ126" s="3526">
        <v>0</v>
      </c>
      <c r="AR126" s="3526">
        <v>0</v>
      </c>
    </row>
    <row r="127" spans="1:44" s="3292" customFormat="1" ht="14.25" hidden="1" customHeight="1">
      <c r="A127" s="3526" t="s">
        <v>3150</v>
      </c>
      <c r="B127" s="3526">
        <v>2018038002</v>
      </c>
      <c r="C127" s="3525" t="s">
        <v>3048</v>
      </c>
      <c r="D127" s="3525" t="s">
        <v>3049</v>
      </c>
      <c r="E127" s="3526" t="s">
        <v>3378</v>
      </c>
      <c r="F127" s="3525" t="s">
        <v>3151</v>
      </c>
      <c r="G127" s="3525" t="s">
        <v>3051</v>
      </c>
      <c r="H127" s="3526">
        <v>69788</v>
      </c>
      <c r="I127" s="3526">
        <v>97703.2</v>
      </c>
      <c r="J127" s="3526" t="s">
        <v>3459</v>
      </c>
      <c r="K127" s="3525" t="s">
        <v>3358</v>
      </c>
      <c r="L127" s="3526" t="s">
        <v>3465</v>
      </c>
      <c r="M127" s="3525" t="s">
        <v>3052</v>
      </c>
      <c r="N127" s="3525" t="s">
        <v>3053</v>
      </c>
      <c r="O127" s="3525" t="s">
        <v>3077</v>
      </c>
      <c r="P127" s="3525" t="s">
        <v>3056</v>
      </c>
      <c r="Q127" s="3525" t="s">
        <v>3056</v>
      </c>
      <c r="R127" s="3525" t="s">
        <v>3056</v>
      </c>
      <c r="S127" s="3525" t="s">
        <v>3056</v>
      </c>
      <c r="T127" s="3525" t="s">
        <v>3056</v>
      </c>
      <c r="U127" s="3525" t="s">
        <v>3056</v>
      </c>
      <c r="V127" s="3525" t="s">
        <v>3056</v>
      </c>
      <c r="W127" s="3525" t="s">
        <v>3056</v>
      </c>
      <c r="X127" s="3527">
        <v>43463.000497685185</v>
      </c>
      <c r="Y127" s="3527">
        <v>43483.000497685185</v>
      </c>
      <c r="Z127" s="3527">
        <v>43493.000497685185</v>
      </c>
      <c r="AA127" s="3528">
        <v>43493.000497685185</v>
      </c>
      <c r="AB127" s="3525" t="s">
        <v>3311</v>
      </c>
      <c r="AC127" s="3525" t="s">
        <v>3058</v>
      </c>
      <c r="AD127" s="3526" t="s">
        <v>3467</v>
      </c>
      <c r="AE127" s="3526" t="s">
        <v>2776</v>
      </c>
      <c r="AF127" s="3525">
        <v>3663.86</v>
      </c>
      <c r="AG127" s="3525">
        <v>800</v>
      </c>
      <c r="AH127" s="3525">
        <v>3663.86</v>
      </c>
      <c r="AI127" s="3525">
        <v>35</v>
      </c>
      <c r="AJ127" s="3526">
        <v>35</v>
      </c>
      <c r="AK127" s="3525">
        <v>375</v>
      </c>
      <c r="AL127" s="3526">
        <v>375</v>
      </c>
      <c r="AM127" s="3525" t="s">
        <v>3056</v>
      </c>
      <c r="AN127" s="3525" t="s">
        <v>3056</v>
      </c>
      <c r="AO127" s="3526">
        <v>0</v>
      </c>
      <c r="AP127" s="3526" t="s">
        <v>3059</v>
      </c>
      <c r="AQ127" s="3526">
        <v>0</v>
      </c>
      <c r="AR127" s="3526">
        <v>0</v>
      </c>
    </row>
    <row r="128" spans="1:44" ht="14.25">
      <c r="A128" s="3525" t="s">
        <v>3312</v>
      </c>
      <c r="B128" s="3525">
        <v>2018032001</v>
      </c>
      <c r="C128" s="3525" t="s">
        <v>3048</v>
      </c>
      <c r="D128" s="3525" t="s">
        <v>3049</v>
      </c>
      <c r="E128" s="3525" t="s">
        <v>3382</v>
      </c>
      <c r="F128" s="3525" t="s">
        <v>3313</v>
      </c>
      <c r="G128" s="3525" t="s">
        <v>3051</v>
      </c>
      <c r="H128" s="3525">
        <v>51085</v>
      </c>
      <c r="I128" s="3525">
        <v>127712.5</v>
      </c>
      <c r="J128" s="3525" t="s">
        <v>3472</v>
      </c>
      <c r="K128" s="3525" t="s">
        <v>3358</v>
      </c>
      <c r="L128" s="3525" t="s">
        <v>3465</v>
      </c>
      <c r="M128" s="3525" t="s">
        <v>3052</v>
      </c>
      <c r="N128" s="3525" t="s">
        <v>3053</v>
      </c>
      <c r="O128" s="3525" t="s">
        <v>3054</v>
      </c>
      <c r="P128" s="3525" t="s">
        <v>3056</v>
      </c>
      <c r="Q128" s="3525" t="s">
        <v>3056</v>
      </c>
      <c r="R128" s="3525" t="s">
        <v>3056</v>
      </c>
      <c r="S128" s="3525" t="s">
        <v>3056</v>
      </c>
      <c r="T128" s="3525" t="s">
        <v>3056</v>
      </c>
      <c r="U128" s="3525" t="s">
        <v>3056</v>
      </c>
      <c r="V128" s="3525" t="s">
        <v>3056</v>
      </c>
      <c r="W128" s="3525" t="s">
        <v>3056</v>
      </c>
      <c r="X128" s="3527">
        <v>43454.000497685185</v>
      </c>
      <c r="Y128" s="3527">
        <v>43475.000497685185</v>
      </c>
      <c r="Z128" s="3527">
        <v>43484.000497685185</v>
      </c>
      <c r="AA128" s="3527">
        <v>43484.000497685185</v>
      </c>
      <c r="AB128" s="3525" t="s">
        <v>3314</v>
      </c>
      <c r="AC128" s="3525" t="s">
        <v>3058</v>
      </c>
      <c r="AD128" s="3525" t="s">
        <v>3473</v>
      </c>
      <c r="AE128" s="3525" t="s">
        <v>3474</v>
      </c>
      <c r="AF128" s="3525">
        <v>26819.63</v>
      </c>
      <c r="AG128" s="3525">
        <v>6000</v>
      </c>
      <c r="AH128" s="3525">
        <v>26819.63</v>
      </c>
      <c r="AI128" s="3525">
        <v>350</v>
      </c>
      <c r="AJ128" s="3525">
        <v>350</v>
      </c>
      <c r="AK128" s="3525">
        <v>2100</v>
      </c>
      <c r="AL128" s="3525">
        <v>2100</v>
      </c>
      <c r="AM128" s="3525" t="s">
        <v>3056</v>
      </c>
      <c r="AN128" s="3525" t="s">
        <v>3056</v>
      </c>
      <c r="AO128" s="3525">
        <v>0</v>
      </c>
      <c r="AP128" s="3525" t="s">
        <v>3059</v>
      </c>
      <c r="AQ128" s="3525">
        <v>0</v>
      </c>
      <c r="AR128" s="3525">
        <v>0</v>
      </c>
    </row>
    <row r="129" spans="1:44" ht="14.25">
      <c r="A129" s="3525" t="s">
        <v>3312</v>
      </c>
      <c r="B129" s="3525">
        <v>2018032002</v>
      </c>
      <c r="C129" s="3525" t="s">
        <v>3048</v>
      </c>
      <c r="D129" s="3525" t="s">
        <v>3049</v>
      </c>
      <c r="E129" s="3525" t="s">
        <v>3382</v>
      </c>
      <c r="F129" s="3525" t="s">
        <v>3313</v>
      </c>
      <c r="G129" s="3525" t="s">
        <v>3051</v>
      </c>
      <c r="H129" s="3525">
        <v>44270</v>
      </c>
      <c r="I129" s="3525">
        <v>110675</v>
      </c>
      <c r="J129" s="3525" t="s">
        <v>3472</v>
      </c>
      <c r="K129" s="3525" t="s">
        <v>3358</v>
      </c>
      <c r="L129" s="3525" t="s">
        <v>3465</v>
      </c>
      <c r="M129" s="3525" t="s">
        <v>3052</v>
      </c>
      <c r="N129" s="3525" t="s">
        <v>3053</v>
      </c>
      <c r="O129" s="3525" t="s">
        <v>3054</v>
      </c>
      <c r="P129" s="3525" t="s">
        <v>3056</v>
      </c>
      <c r="Q129" s="3525" t="s">
        <v>3056</v>
      </c>
      <c r="R129" s="3525" t="s">
        <v>3056</v>
      </c>
      <c r="S129" s="3525" t="s">
        <v>3056</v>
      </c>
      <c r="T129" s="3525" t="s">
        <v>3056</v>
      </c>
      <c r="U129" s="3525" t="s">
        <v>3056</v>
      </c>
      <c r="V129" s="3525" t="s">
        <v>3056</v>
      </c>
      <c r="W129" s="3525" t="s">
        <v>3056</v>
      </c>
      <c r="X129" s="3527">
        <v>43454.000497685185</v>
      </c>
      <c r="Y129" s="3527">
        <v>43475.000497685185</v>
      </c>
      <c r="Z129" s="3527">
        <v>43484.000497685185</v>
      </c>
      <c r="AA129" s="3527">
        <v>43484.000497685185</v>
      </c>
      <c r="AB129" s="3525" t="s">
        <v>3315</v>
      </c>
      <c r="AC129" s="3525" t="s">
        <v>3058</v>
      </c>
      <c r="AD129" s="3525" t="s">
        <v>3473</v>
      </c>
      <c r="AE129" s="3525" t="s">
        <v>3474</v>
      </c>
      <c r="AF129" s="3525">
        <v>23241.75</v>
      </c>
      <c r="AG129" s="3525">
        <v>5000</v>
      </c>
      <c r="AH129" s="3525">
        <v>23241.75</v>
      </c>
      <c r="AI129" s="3525">
        <v>350</v>
      </c>
      <c r="AJ129" s="3525">
        <v>350</v>
      </c>
      <c r="AK129" s="3525">
        <v>2100</v>
      </c>
      <c r="AL129" s="3525">
        <v>2100</v>
      </c>
      <c r="AM129" s="3525" t="s">
        <v>3056</v>
      </c>
      <c r="AN129" s="3525" t="s">
        <v>3056</v>
      </c>
      <c r="AO129" s="3525">
        <v>0</v>
      </c>
      <c r="AP129" s="3525" t="s">
        <v>3059</v>
      </c>
      <c r="AQ129" s="3525">
        <v>0</v>
      </c>
      <c r="AR129" s="3525">
        <v>0</v>
      </c>
    </row>
    <row r="130" spans="1:44" ht="14.25">
      <c r="A130" s="3525" t="s">
        <v>3312</v>
      </c>
      <c r="B130" s="3525">
        <v>2018032003</v>
      </c>
      <c r="C130" s="3525" t="s">
        <v>3048</v>
      </c>
      <c r="D130" s="3525" t="s">
        <v>3049</v>
      </c>
      <c r="E130" s="3525" t="s">
        <v>3382</v>
      </c>
      <c r="F130" s="3525" t="s">
        <v>3313</v>
      </c>
      <c r="G130" s="3525" t="s">
        <v>3051</v>
      </c>
      <c r="H130" s="3525">
        <v>61252</v>
      </c>
      <c r="I130" s="3525">
        <v>153130</v>
      </c>
      <c r="J130" s="3525" t="s">
        <v>3472</v>
      </c>
      <c r="K130" s="3525" t="s">
        <v>3358</v>
      </c>
      <c r="L130" s="3525" t="s">
        <v>3465</v>
      </c>
      <c r="M130" s="3525" t="s">
        <v>3052</v>
      </c>
      <c r="N130" s="3525" t="s">
        <v>3053</v>
      </c>
      <c r="O130" s="3525" t="s">
        <v>3054</v>
      </c>
      <c r="P130" s="3525" t="s">
        <v>3056</v>
      </c>
      <c r="Q130" s="3525" t="s">
        <v>3056</v>
      </c>
      <c r="R130" s="3525" t="s">
        <v>3056</v>
      </c>
      <c r="S130" s="3525" t="s">
        <v>3056</v>
      </c>
      <c r="T130" s="3525" t="s">
        <v>3056</v>
      </c>
      <c r="U130" s="3525" t="s">
        <v>3056</v>
      </c>
      <c r="V130" s="3525" t="s">
        <v>3056</v>
      </c>
      <c r="W130" s="3525" t="s">
        <v>3056</v>
      </c>
      <c r="X130" s="3527">
        <v>43454.000497685185</v>
      </c>
      <c r="Y130" s="3527">
        <v>43475.000497685185</v>
      </c>
      <c r="Z130" s="3527">
        <v>43484.000497685185</v>
      </c>
      <c r="AA130" s="3527">
        <v>43484.000497685185</v>
      </c>
      <c r="AB130" s="3525" t="s">
        <v>3316</v>
      </c>
      <c r="AC130" s="3525" t="s">
        <v>3058</v>
      </c>
      <c r="AD130" s="3525" t="s">
        <v>3473</v>
      </c>
      <c r="AE130" s="3525" t="s">
        <v>3474</v>
      </c>
      <c r="AF130" s="3525">
        <v>32157.29</v>
      </c>
      <c r="AG130" s="3525">
        <v>7000</v>
      </c>
      <c r="AH130" s="3525">
        <v>32157.29</v>
      </c>
      <c r="AI130" s="3525">
        <v>350</v>
      </c>
      <c r="AJ130" s="3525">
        <v>350</v>
      </c>
      <c r="AK130" s="3525">
        <v>2100</v>
      </c>
      <c r="AL130" s="3525">
        <v>2100</v>
      </c>
      <c r="AM130" s="3525" t="s">
        <v>3056</v>
      </c>
      <c r="AN130" s="3525" t="s">
        <v>3056</v>
      </c>
      <c r="AO130" s="3525">
        <v>0</v>
      </c>
      <c r="AP130" s="3525" t="s">
        <v>3059</v>
      </c>
      <c r="AQ130" s="3525">
        <v>0</v>
      </c>
      <c r="AR130" s="3525">
        <v>0</v>
      </c>
    </row>
    <row r="131" spans="1:44" s="3292" customFormat="1" ht="14.25" hidden="1" customHeight="1">
      <c r="A131" s="3526" t="s">
        <v>3317</v>
      </c>
      <c r="B131" s="3526">
        <v>2018031001</v>
      </c>
      <c r="C131" s="3525" t="s">
        <v>3048</v>
      </c>
      <c r="D131" s="3525" t="s">
        <v>3049</v>
      </c>
      <c r="E131" s="3526" t="s">
        <v>3361</v>
      </c>
      <c r="F131" s="3525" t="s">
        <v>3318</v>
      </c>
      <c r="G131" s="3525" t="s">
        <v>3051</v>
      </c>
      <c r="H131" s="3526">
        <v>19740</v>
      </c>
      <c r="I131" s="3526">
        <v>63168</v>
      </c>
      <c r="J131" s="3526" t="s">
        <v>3461</v>
      </c>
      <c r="K131" s="3525" t="s">
        <v>3358</v>
      </c>
      <c r="L131" s="3526" t="s">
        <v>3465</v>
      </c>
      <c r="M131" s="3525" t="s">
        <v>3052</v>
      </c>
      <c r="N131" s="3525" t="s">
        <v>3053</v>
      </c>
      <c r="O131" s="3525" t="s">
        <v>3260</v>
      </c>
      <c r="P131" s="3525" t="s">
        <v>3056</v>
      </c>
      <c r="Q131" s="3525" t="s">
        <v>3056</v>
      </c>
      <c r="R131" s="3525" t="s">
        <v>3056</v>
      </c>
      <c r="S131" s="3525" t="s">
        <v>3056</v>
      </c>
      <c r="T131" s="3525" t="s">
        <v>3056</v>
      </c>
      <c r="U131" s="3525" t="s">
        <v>3056</v>
      </c>
      <c r="V131" s="3525" t="s">
        <v>3056</v>
      </c>
      <c r="W131" s="3525" t="s">
        <v>3056</v>
      </c>
      <c r="X131" s="3527">
        <v>43433.000497685185</v>
      </c>
      <c r="Y131" s="3527">
        <v>43454.000497685185</v>
      </c>
      <c r="Z131" s="3527">
        <v>43463.000497685185</v>
      </c>
      <c r="AA131" s="3528">
        <v>43463.000497685185</v>
      </c>
      <c r="AB131" s="3525" t="s">
        <v>3319</v>
      </c>
      <c r="AC131" s="3525" t="s">
        <v>3058</v>
      </c>
      <c r="AD131" s="3526" t="s">
        <v>3401</v>
      </c>
      <c r="AE131" s="3526" t="s">
        <v>2776</v>
      </c>
      <c r="AF131" s="3525">
        <v>10896.47</v>
      </c>
      <c r="AG131" s="3525">
        <v>2200</v>
      </c>
      <c r="AH131" s="3525">
        <v>10896.47</v>
      </c>
      <c r="AI131" s="3525">
        <v>368</v>
      </c>
      <c r="AJ131" s="3526">
        <v>368</v>
      </c>
      <c r="AK131" s="3525">
        <v>1725</v>
      </c>
      <c r="AL131" s="3526">
        <v>1725</v>
      </c>
      <c r="AM131" s="3525" t="s">
        <v>3056</v>
      </c>
      <c r="AN131" s="3525" t="s">
        <v>3056</v>
      </c>
      <c r="AO131" s="3526">
        <v>0</v>
      </c>
      <c r="AP131" s="3526" t="s">
        <v>3059</v>
      </c>
      <c r="AQ131" s="3526">
        <v>0</v>
      </c>
      <c r="AR131" s="3526">
        <v>0</v>
      </c>
    </row>
    <row r="132" spans="1:44" s="3292" customFormat="1" ht="14.25" hidden="1" customHeight="1">
      <c r="A132" s="3526" t="s">
        <v>3320</v>
      </c>
      <c r="B132" s="3526">
        <v>2018031004</v>
      </c>
      <c r="C132" s="3525" t="s">
        <v>3048</v>
      </c>
      <c r="D132" s="3525" t="s">
        <v>3049</v>
      </c>
      <c r="E132" s="3526" t="s">
        <v>3361</v>
      </c>
      <c r="F132" s="3525" t="s">
        <v>3321</v>
      </c>
      <c r="G132" s="3525" t="s">
        <v>3051</v>
      </c>
      <c r="H132" s="3526">
        <v>22949</v>
      </c>
      <c r="I132" s="3526">
        <v>73436.800000000003</v>
      </c>
      <c r="J132" s="3526" t="s">
        <v>3461</v>
      </c>
      <c r="K132" s="3525" t="s">
        <v>3358</v>
      </c>
      <c r="L132" s="3526" t="s">
        <v>3465</v>
      </c>
      <c r="M132" s="3525" t="s">
        <v>3052</v>
      </c>
      <c r="N132" s="3525" t="s">
        <v>3053</v>
      </c>
      <c r="O132" s="3525" t="s">
        <v>3260</v>
      </c>
      <c r="P132" s="3525" t="s">
        <v>3056</v>
      </c>
      <c r="Q132" s="3525" t="s">
        <v>3056</v>
      </c>
      <c r="R132" s="3525" t="s">
        <v>3056</v>
      </c>
      <c r="S132" s="3525" t="s">
        <v>3056</v>
      </c>
      <c r="T132" s="3525" t="s">
        <v>3056</v>
      </c>
      <c r="U132" s="3525" t="s">
        <v>3056</v>
      </c>
      <c r="V132" s="3525" t="s">
        <v>3056</v>
      </c>
      <c r="W132" s="3525" t="s">
        <v>3056</v>
      </c>
      <c r="X132" s="3527">
        <v>43433.000497685185</v>
      </c>
      <c r="Y132" s="3527">
        <v>43454.000497685185</v>
      </c>
      <c r="Z132" s="3527">
        <v>43463.000497685185</v>
      </c>
      <c r="AA132" s="3528">
        <v>43463.000497685185</v>
      </c>
      <c r="AB132" s="3525" t="s">
        <v>3322</v>
      </c>
      <c r="AC132" s="3525" t="s">
        <v>3058</v>
      </c>
      <c r="AD132" s="3526" t="s">
        <v>3401</v>
      </c>
      <c r="AE132" s="3526" t="s">
        <v>2776</v>
      </c>
      <c r="AF132" s="3525">
        <v>12667.85</v>
      </c>
      <c r="AG132" s="3525">
        <v>2600</v>
      </c>
      <c r="AH132" s="3525">
        <v>12667.85</v>
      </c>
      <c r="AI132" s="3525">
        <v>368</v>
      </c>
      <c r="AJ132" s="3526">
        <v>368</v>
      </c>
      <c r="AK132" s="3525">
        <v>1725</v>
      </c>
      <c r="AL132" s="3526">
        <v>1725</v>
      </c>
      <c r="AM132" s="3525" t="s">
        <v>3056</v>
      </c>
      <c r="AN132" s="3525" t="s">
        <v>3056</v>
      </c>
      <c r="AO132" s="3526">
        <v>0</v>
      </c>
      <c r="AP132" s="3526" t="s">
        <v>3059</v>
      </c>
      <c r="AQ132" s="3526">
        <v>0</v>
      </c>
      <c r="AR132" s="3526">
        <v>0</v>
      </c>
    </row>
    <row r="133" spans="1:44" s="3292" customFormat="1" ht="14.25" hidden="1" customHeight="1">
      <c r="A133" s="3526" t="s">
        <v>3323</v>
      </c>
      <c r="B133" s="3526">
        <v>2018031005</v>
      </c>
      <c r="C133" s="3525" t="s">
        <v>3048</v>
      </c>
      <c r="D133" s="3525" t="s">
        <v>3049</v>
      </c>
      <c r="E133" s="3526" t="s">
        <v>3361</v>
      </c>
      <c r="F133" s="3525" t="s">
        <v>3324</v>
      </c>
      <c r="G133" s="3525" t="s">
        <v>3051</v>
      </c>
      <c r="H133" s="3526">
        <v>6684</v>
      </c>
      <c r="I133" s="3526">
        <v>21388.799999999999</v>
      </c>
      <c r="J133" s="3526" t="s">
        <v>3461</v>
      </c>
      <c r="K133" s="3525" t="s">
        <v>3358</v>
      </c>
      <c r="L133" s="3526" t="s">
        <v>3465</v>
      </c>
      <c r="M133" s="3525" t="s">
        <v>3052</v>
      </c>
      <c r="N133" s="3525" t="s">
        <v>3053</v>
      </c>
      <c r="O133" s="3525" t="s">
        <v>3260</v>
      </c>
      <c r="P133" s="3525" t="s">
        <v>3056</v>
      </c>
      <c r="Q133" s="3525" t="s">
        <v>3056</v>
      </c>
      <c r="R133" s="3525" t="s">
        <v>3056</v>
      </c>
      <c r="S133" s="3525" t="s">
        <v>3056</v>
      </c>
      <c r="T133" s="3525" t="s">
        <v>3056</v>
      </c>
      <c r="U133" s="3525" t="s">
        <v>3056</v>
      </c>
      <c r="V133" s="3525" t="s">
        <v>3056</v>
      </c>
      <c r="W133" s="3525" t="s">
        <v>3056</v>
      </c>
      <c r="X133" s="3527">
        <v>43433.000497685185</v>
      </c>
      <c r="Y133" s="3527">
        <v>43454.000497685185</v>
      </c>
      <c r="Z133" s="3527">
        <v>43463.000497685185</v>
      </c>
      <c r="AA133" s="3528">
        <v>43463.000497685185</v>
      </c>
      <c r="AB133" s="3525" t="s">
        <v>3325</v>
      </c>
      <c r="AC133" s="3525" t="s">
        <v>3058</v>
      </c>
      <c r="AD133" s="3526" t="s">
        <v>3401</v>
      </c>
      <c r="AE133" s="3526" t="s">
        <v>2776</v>
      </c>
      <c r="AF133" s="3525">
        <v>3689.57</v>
      </c>
      <c r="AG133" s="3525">
        <v>800</v>
      </c>
      <c r="AH133" s="3525">
        <v>3689.57</v>
      </c>
      <c r="AI133" s="3525">
        <v>368</v>
      </c>
      <c r="AJ133" s="3526">
        <v>368</v>
      </c>
      <c r="AK133" s="3525">
        <v>1725</v>
      </c>
      <c r="AL133" s="3526">
        <v>1725</v>
      </c>
      <c r="AM133" s="3525" t="s">
        <v>3056</v>
      </c>
      <c r="AN133" s="3525" t="s">
        <v>3056</v>
      </c>
      <c r="AO133" s="3526">
        <v>0</v>
      </c>
      <c r="AP133" s="3526" t="s">
        <v>3059</v>
      </c>
      <c r="AQ133" s="3526">
        <v>0</v>
      </c>
      <c r="AR133" s="3526">
        <v>0</v>
      </c>
    </row>
    <row r="134" spans="1:44" s="3292" customFormat="1" ht="14.25" hidden="1" customHeight="1">
      <c r="A134" s="3526" t="s">
        <v>3326</v>
      </c>
      <c r="B134" s="3526">
        <v>2018031003</v>
      </c>
      <c r="C134" s="3525" t="s">
        <v>3048</v>
      </c>
      <c r="D134" s="3525" t="s">
        <v>3049</v>
      </c>
      <c r="E134" s="3526" t="s">
        <v>3361</v>
      </c>
      <c r="F134" s="3525" t="s">
        <v>3327</v>
      </c>
      <c r="G134" s="3525" t="s">
        <v>3051</v>
      </c>
      <c r="H134" s="3526">
        <v>15522</v>
      </c>
      <c r="I134" s="3526">
        <v>49670.400000000001</v>
      </c>
      <c r="J134" s="3526" t="s">
        <v>3461</v>
      </c>
      <c r="K134" s="3525" t="s">
        <v>3358</v>
      </c>
      <c r="L134" s="3526" t="s">
        <v>3465</v>
      </c>
      <c r="M134" s="3525" t="s">
        <v>3052</v>
      </c>
      <c r="N134" s="3525" t="s">
        <v>3053</v>
      </c>
      <c r="O134" s="3525" t="s">
        <v>3260</v>
      </c>
      <c r="P134" s="3525" t="s">
        <v>3056</v>
      </c>
      <c r="Q134" s="3525" t="s">
        <v>3056</v>
      </c>
      <c r="R134" s="3525" t="s">
        <v>3056</v>
      </c>
      <c r="S134" s="3525" t="s">
        <v>3056</v>
      </c>
      <c r="T134" s="3525" t="s">
        <v>3056</v>
      </c>
      <c r="U134" s="3525" t="s">
        <v>3056</v>
      </c>
      <c r="V134" s="3525" t="s">
        <v>3056</v>
      </c>
      <c r="W134" s="3525" t="s">
        <v>3056</v>
      </c>
      <c r="X134" s="3527">
        <v>43433.000497685185</v>
      </c>
      <c r="Y134" s="3527">
        <v>43454.000497685185</v>
      </c>
      <c r="Z134" s="3527">
        <v>43463.000497685185</v>
      </c>
      <c r="AA134" s="3528">
        <v>43463.000497685185</v>
      </c>
      <c r="AB134" s="3525" t="s">
        <v>3328</v>
      </c>
      <c r="AC134" s="3525" t="s">
        <v>3058</v>
      </c>
      <c r="AD134" s="3526" t="s">
        <v>3401</v>
      </c>
      <c r="AE134" s="3526" t="s">
        <v>2776</v>
      </c>
      <c r="AF134" s="3525">
        <v>8568.1299999999992</v>
      </c>
      <c r="AG134" s="3525">
        <v>1800</v>
      </c>
      <c r="AH134" s="3525">
        <v>8568.1299999999992</v>
      </c>
      <c r="AI134" s="3525">
        <v>368</v>
      </c>
      <c r="AJ134" s="3526">
        <v>368</v>
      </c>
      <c r="AK134" s="3525">
        <v>1725</v>
      </c>
      <c r="AL134" s="3526">
        <v>1725</v>
      </c>
      <c r="AM134" s="3525" t="s">
        <v>3056</v>
      </c>
      <c r="AN134" s="3525" t="s">
        <v>3056</v>
      </c>
      <c r="AO134" s="3526">
        <v>0</v>
      </c>
      <c r="AP134" s="3526" t="s">
        <v>3059</v>
      </c>
      <c r="AQ134" s="3526">
        <v>0</v>
      </c>
      <c r="AR134" s="3526">
        <v>0</v>
      </c>
    </row>
    <row r="135" spans="1:44" s="3292" customFormat="1" ht="14.25" hidden="1" customHeight="1">
      <c r="A135" s="3526" t="s">
        <v>3317</v>
      </c>
      <c r="B135" s="3526">
        <v>2018031002</v>
      </c>
      <c r="C135" s="3525" t="s">
        <v>3048</v>
      </c>
      <c r="D135" s="3525" t="s">
        <v>3049</v>
      </c>
      <c r="E135" s="3526" t="s">
        <v>3361</v>
      </c>
      <c r="F135" s="3525" t="s">
        <v>3318</v>
      </c>
      <c r="G135" s="3525" t="s">
        <v>3051</v>
      </c>
      <c r="H135" s="3526">
        <v>19738</v>
      </c>
      <c r="I135" s="3526">
        <v>63161.599999999999</v>
      </c>
      <c r="J135" s="3526" t="s">
        <v>3461</v>
      </c>
      <c r="K135" s="3525" t="s">
        <v>3358</v>
      </c>
      <c r="L135" s="3526" t="s">
        <v>3465</v>
      </c>
      <c r="M135" s="3525" t="s">
        <v>3052</v>
      </c>
      <c r="N135" s="3525" t="s">
        <v>3053</v>
      </c>
      <c r="O135" s="3525" t="s">
        <v>3260</v>
      </c>
      <c r="P135" s="3525" t="s">
        <v>3056</v>
      </c>
      <c r="Q135" s="3525" t="s">
        <v>3056</v>
      </c>
      <c r="R135" s="3525" t="s">
        <v>3056</v>
      </c>
      <c r="S135" s="3525" t="s">
        <v>3056</v>
      </c>
      <c r="T135" s="3525" t="s">
        <v>3056</v>
      </c>
      <c r="U135" s="3525" t="s">
        <v>3056</v>
      </c>
      <c r="V135" s="3525" t="s">
        <v>3056</v>
      </c>
      <c r="W135" s="3525" t="s">
        <v>3056</v>
      </c>
      <c r="X135" s="3527">
        <v>43433.000497685185</v>
      </c>
      <c r="Y135" s="3527">
        <v>43454.000497685185</v>
      </c>
      <c r="Z135" s="3527">
        <v>43463.000497685185</v>
      </c>
      <c r="AA135" s="3528">
        <v>43463.000497685185</v>
      </c>
      <c r="AB135" s="3525" t="s">
        <v>3329</v>
      </c>
      <c r="AC135" s="3525" t="s">
        <v>3058</v>
      </c>
      <c r="AD135" s="3526" t="s">
        <v>3401</v>
      </c>
      <c r="AE135" s="3526" t="s">
        <v>2776</v>
      </c>
      <c r="AF135" s="3525">
        <v>10895.37</v>
      </c>
      <c r="AG135" s="3525">
        <v>2200</v>
      </c>
      <c r="AH135" s="3525">
        <v>10895.37</v>
      </c>
      <c r="AI135" s="3525">
        <v>368</v>
      </c>
      <c r="AJ135" s="3526">
        <v>368</v>
      </c>
      <c r="AK135" s="3525">
        <v>1725</v>
      </c>
      <c r="AL135" s="3526">
        <v>1725</v>
      </c>
      <c r="AM135" s="3525" t="s">
        <v>3056</v>
      </c>
      <c r="AN135" s="3525" t="s">
        <v>3056</v>
      </c>
      <c r="AO135" s="3526">
        <v>0</v>
      </c>
      <c r="AP135" s="3526" t="s">
        <v>3059</v>
      </c>
      <c r="AQ135" s="3526">
        <v>0</v>
      </c>
      <c r="AR135" s="3526">
        <v>0</v>
      </c>
    </row>
    <row r="136" spans="1:44" s="3292" customFormat="1" ht="14.25" hidden="1" customHeight="1">
      <c r="A136" s="3526" t="s">
        <v>3150</v>
      </c>
      <c r="B136" s="3526">
        <v>2018030001</v>
      </c>
      <c r="C136" s="3525" t="s">
        <v>3048</v>
      </c>
      <c r="D136" s="3525" t="s">
        <v>3049</v>
      </c>
      <c r="E136" s="3526" t="s">
        <v>3475</v>
      </c>
      <c r="F136" s="3525" t="s">
        <v>3151</v>
      </c>
      <c r="G136" s="3525" t="s">
        <v>3051</v>
      </c>
      <c r="H136" s="3526">
        <v>53333</v>
      </c>
      <c r="I136" s="3526">
        <v>170665.60000000001</v>
      </c>
      <c r="J136" s="3526" t="s">
        <v>3461</v>
      </c>
      <c r="K136" s="3525" t="s">
        <v>3358</v>
      </c>
      <c r="L136" s="3526" t="s">
        <v>3465</v>
      </c>
      <c r="M136" s="3525" t="s">
        <v>3052</v>
      </c>
      <c r="N136" s="3525" t="s">
        <v>3053</v>
      </c>
      <c r="O136" s="3525" t="s">
        <v>3280</v>
      </c>
      <c r="P136" s="3525" t="s">
        <v>3056</v>
      </c>
      <c r="Q136" s="3525" t="s">
        <v>3056</v>
      </c>
      <c r="R136" s="3525" t="s">
        <v>3056</v>
      </c>
      <c r="S136" s="3525" t="s">
        <v>3056</v>
      </c>
      <c r="T136" s="3525" t="s">
        <v>3056</v>
      </c>
      <c r="U136" s="3525" t="s">
        <v>3056</v>
      </c>
      <c r="V136" s="3525" t="s">
        <v>3056</v>
      </c>
      <c r="W136" s="3525" t="s">
        <v>3056</v>
      </c>
      <c r="X136" s="3527">
        <v>43425.000497685185</v>
      </c>
      <c r="Y136" s="3527">
        <v>43445.000497685185</v>
      </c>
      <c r="Z136" s="3527">
        <v>43454.000497685185</v>
      </c>
      <c r="AA136" s="3528">
        <v>43454.000497685185</v>
      </c>
      <c r="AB136" s="3525" t="s">
        <v>3330</v>
      </c>
      <c r="AC136" s="3525" t="s">
        <v>3058</v>
      </c>
      <c r="AD136" s="3526" t="s">
        <v>3421</v>
      </c>
      <c r="AE136" s="3526" t="s">
        <v>3422</v>
      </c>
      <c r="AF136" s="3525">
        <v>31999.79</v>
      </c>
      <c r="AG136" s="3525">
        <v>7000</v>
      </c>
      <c r="AH136" s="3525">
        <v>31999.79</v>
      </c>
      <c r="AI136" s="3525">
        <v>400</v>
      </c>
      <c r="AJ136" s="3526">
        <v>400</v>
      </c>
      <c r="AK136" s="3525">
        <v>1875</v>
      </c>
      <c r="AL136" s="3526">
        <v>1875</v>
      </c>
      <c r="AM136" s="3525" t="s">
        <v>3056</v>
      </c>
      <c r="AN136" s="3525" t="s">
        <v>3056</v>
      </c>
      <c r="AO136" s="3526">
        <v>0</v>
      </c>
      <c r="AP136" s="3526" t="s">
        <v>3059</v>
      </c>
      <c r="AQ136" s="3526">
        <v>0</v>
      </c>
      <c r="AR136" s="3526">
        <v>0</v>
      </c>
    </row>
    <row r="137" spans="1:44" s="3292" customFormat="1" ht="14.25" hidden="1" customHeight="1">
      <c r="A137" s="3526" t="s">
        <v>3150</v>
      </c>
      <c r="B137" s="3526">
        <v>2018030003</v>
      </c>
      <c r="C137" s="3525" t="s">
        <v>3048</v>
      </c>
      <c r="D137" s="3525" t="s">
        <v>3049</v>
      </c>
      <c r="E137" s="3526" t="s">
        <v>3475</v>
      </c>
      <c r="F137" s="3525" t="s">
        <v>3151</v>
      </c>
      <c r="G137" s="3525" t="s">
        <v>3051</v>
      </c>
      <c r="H137" s="3526">
        <v>53333</v>
      </c>
      <c r="I137" s="3526">
        <v>170665.60000000001</v>
      </c>
      <c r="J137" s="3526" t="s">
        <v>3461</v>
      </c>
      <c r="K137" s="3525" t="s">
        <v>3358</v>
      </c>
      <c r="L137" s="3526" t="s">
        <v>3465</v>
      </c>
      <c r="M137" s="3525" t="s">
        <v>3052</v>
      </c>
      <c r="N137" s="3525" t="s">
        <v>3053</v>
      </c>
      <c r="O137" s="3525" t="s">
        <v>3280</v>
      </c>
      <c r="P137" s="3525" t="s">
        <v>3056</v>
      </c>
      <c r="Q137" s="3525" t="s">
        <v>3056</v>
      </c>
      <c r="R137" s="3525" t="s">
        <v>3056</v>
      </c>
      <c r="S137" s="3525" t="s">
        <v>3056</v>
      </c>
      <c r="T137" s="3525" t="s">
        <v>3056</v>
      </c>
      <c r="U137" s="3525" t="s">
        <v>3056</v>
      </c>
      <c r="V137" s="3525" t="s">
        <v>3056</v>
      </c>
      <c r="W137" s="3525" t="s">
        <v>3056</v>
      </c>
      <c r="X137" s="3527">
        <v>43425.000497685185</v>
      </c>
      <c r="Y137" s="3527">
        <v>43445.000497685185</v>
      </c>
      <c r="Z137" s="3527">
        <v>43454.000497685185</v>
      </c>
      <c r="AA137" s="3528">
        <v>43454.000497685185</v>
      </c>
      <c r="AB137" s="3525" t="s">
        <v>3331</v>
      </c>
      <c r="AC137" s="3525" t="s">
        <v>3058</v>
      </c>
      <c r="AD137" s="3526" t="s">
        <v>3421</v>
      </c>
      <c r="AE137" s="3526" t="s">
        <v>3422</v>
      </c>
      <c r="AF137" s="3525">
        <v>31999.79</v>
      </c>
      <c r="AG137" s="3525">
        <v>7000</v>
      </c>
      <c r="AH137" s="3525">
        <v>31999.79</v>
      </c>
      <c r="AI137" s="3525">
        <v>400</v>
      </c>
      <c r="AJ137" s="3526">
        <v>400</v>
      </c>
      <c r="AK137" s="3525">
        <v>1875</v>
      </c>
      <c r="AL137" s="3526">
        <v>1875</v>
      </c>
      <c r="AM137" s="3525" t="s">
        <v>3056</v>
      </c>
      <c r="AN137" s="3525" t="s">
        <v>3056</v>
      </c>
      <c r="AO137" s="3526">
        <v>0</v>
      </c>
      <c r="AP137" s="3526" t="s">
        <v>3059</v>
      </c>
      <c r="AQ137" s="3526">
        <v>0</v>
      </c>
      <c r="AR137" s="3526">
        <v>0</v>
      </c>
    </row>
    <row r="138" spans="1:44" s="3292" customFormat="1" ht="14.25" hidden="1" customHeight="1">
      <c r="A138" s="3526" t="s">
        <v>3150</v>
      </c>
      <c r="B138" s="3526">
        <v>2018030005</v>
      </c>
      <c r="C138" s="3525" t="s">
        <v>3048</v>
      </c>
      <c r="D138" s="3525" t="s">
        <v>3049</v>
      </c>
      <c r="E138" s="3526" t="s">
        <v>3475</v>
      </c>
      <c r="F138" s="3525" t="s">
        <v>3151</v>
      </c>
      <c r="G138" s="3525" t="s">
        <v>3051</v>
      </c>
      <c r="H138" s="3526">
        <v>53333</v>
      </c>
      <c r="I138" s="3526">
        <v>170665.60000000001</v>
      </c>
      <c r="J138" s="3526" t="s">
        <v>3461</v>
      </c>
      <c r="K138" s="3525" t="s">
        <v>3358</v>
      </c>
      <c r="L138" s="3526" t="s">
        <v>3465</v>
      </c>
      <c r="M138" s="3525" t="s">
        <v>3052</v>
      </c>
      <c r="N138" s="3525" t="s">
        <v>3053</v>
      </c>
      <c r="O138" s="3525" t="s">
        <v>3280</v>
      </c>
      <c r="P138" s="3525" t="s">
        <v>3056</v>
      </c>
      <c r="Q138" s="3525" t="s">
        <v>3056</v>
      </c>
      <c r="R138" s="3525" t="s">
        <v>3056</v>
      </c>
      <c r="S138" s="3525" t="s">
        <v>3056</v>
      </c>
      <c r="T138" s="3525" t="s">
        <v>3056</v>
      </c>
      <c r="U138" s="3525" t="s">
        <v>3056</v>
      </c>
      <c r="V138" s="3525" t="s">
        <v>3056</v>
      </c>
      <c r="W138" s="3525" t="s">
        <v>3056</v>
      </c>
      <c r="X138" s="3527">
        <v>43425.000497685185</v>
      </c>
      <c r="Y138" s="3527">
        <v>43445.000497685185</v>
      </c>
      <c r="Z138" s="3527">
        <v>43454.000497685185</v>
      </c>
      <c r="AA138" s="3528">
        <v>43454.000497685185</v>
      </c>
      <c r="AB138" s="3525" t="s">
        <v>3332</v>
      </c>
      <c r="AC138" s="3525" t="s">
        <v>3058</v>
      </c>
      <c r="AD138" s="3526" t="s">
        <v>3421</v>
      </c>
      <c r="AE138" s="3526" t="s">
        <v>3422</v>
      </c>
      <c r="AF138" s="3525">
        <v>31999.79</v>
      </c>
      <c r="AG138" s="3525">
        <v>7000</v>
      </c>
      <c r="AH138" s="3525">
        <v>31999.79</v>
      </c>
      <c r="AI138" s="3525">
        <v>400</v>
      </c>
      <c r="AJ138" s="3526">
        <v>400</v>
      </c>
      <c r="AK138" s="3525">
        <v>1875</v>
      </c>
      <c r="AL138" s="3526">
        <v>1875</v>
      </c>
      <c r="AM138" s="3525" t="s">
        <v>3056</v>
      </c>
      <c r="AN138" s="3525" t="s">
        <v>3056</v>
      </c>
      <c r="AO138" s="3526">
        <v>0</v>
      </c>
      <c r="AP138" s="3526" t="s">
        <v>3059</v>
      </c>
      <c r="AQ138" s="3526">
        <v>0</v>
      </c>
      <c r="AR138" s="3526">
        <v>0</v>
      </c>
    </row>
    <row r="139" spans="1:44" s="3292" customFormat="1" ht="14.25" hidden="1" customHeight="1">
      <c r="A139" s="3526" t="s">
        <v>3150</v>
      </c>
      <c r="B139" s="3526">
        <v>2018030006</v>
      </c>
      <c r="C139" s="3525" t="s">
        <v>3048</v>
      </c>
      <c r="D139" s="3525" t="s">
        <v>3049</v>
      </c>
      <c r="E139" s="3526" t="s">
        <v>3476</v>
      </c>
      <c r="F139" s="3525" t="s">
        <v>3151</v>
      </c>
      <c r="G139" s="3525" t="s">
        <v>3051</v>
      </c>
      <c r="H139" s="3526">
        <v>40000</v>
      </c>
      <c r="I139" s="3526">
        <v>128000</v>
      </c>
      <c r="J139" s="3526" t="s">
        <v>3461</v>
      </c>
      <c r="K139" s="3525" t="s">
        <v>3358</v>
      </c>
      <c r="L139" s="3526" t="s">
        <v>3465</v>
      </c>
      <c r="M139" s="3525" t="s">
        <v>3052</v>
      </c>
      <c r="N139" s="3525" t="s">
        <v>3053</v>
      </c>
      <c r="O139" s="3525" t="s">
        <v>3280</v>
      </c>
      <c r="P139" s="3525" t="s">
        <v>3056</v>
      </c>
      <c r="Q139" s="3525" t="s">
        <v>3056</v>
      </c>
      <c r="R139" s="3525" t="s">
        <v>3056</v>
      </c>
      <c r="S139" s="3525" t="s">
        <v>3056</v>
      </c>
      <c r="T139" s="3525" t="s">
        <v>3056</v>
      </c>
      <c r="U139" s="3525" t="s">
        <v>3056</v>
      </c>
      <c r="V139" s="3525" t="s">
        <v>3056</v>
      </c>
      <c r="W139" s="3525" t="s">
        <v>3056</v>
      </c>
      <c r="X139" s="3527">
        <v>43425.000497685185</v>
      </c>
      <c r="Y139" s="3527">
        <v>43445.000497685185</v>
      </c>
      <c r="Z139" s="3527">
        <v>43454.000497685185</v>
      </c>
      <c r="AA139" s="3528">
        <v>43454.000497685185</v>
      </c>
      <c r="AB139" s="3525" t="s">
        <v>3333</v>
      </c>
      <c r="AC139" s="3525" t="s">
        <v>3058</v>
      </c>
      <c r="AD139" s="3526" t="s">
        <v>3421</v>
      </c>
      <c r="AE139" s="3526" t="s">
        <v>3422</v>
      </c>
      <c r="AF139" s="3525">
        <v>24000</v>
      </c>
      <c r="AG139" s="3525">
        <v>5000</v>
      </c>
      <c r="AH139" s="3525">
        <v>24000</v>
      </c>
      <c r="AI139" s="3525">
        <v>400</v>
      </c>
      <c r="AJ139" s="3526">
        <v>400</v>
      </c>
      <c r="AK139" s="3525">
        <v>1875</v>
      </c>
      <c r="AL139" s="3526">
        <v>1875</v>
      </c>
      <c r="AM139" s="3525" t="s">
        <v>3056</v>
      </c>
      <c r="AN139" s="3525" t="s">
        <v>3056</v>
      </c>
      <c r="AO139" s="3526">
        <v>0</v>
      </c>
      <c r="AP139" s="3526" t="s">
        <v>3059</v>
      </c>
      <c r="AQ139" s="3526">
        <v>0</v>
      </c>
      <c r="AR139" s="3526">
        <v>0</v>
      </c>
    </row>
    <row r="140" spans="1:44" s="3292" customFormat="1" ht="14.25" hidden="1" customHeight="1">
      <c r="A140" s="3526" t="s">
        <v>3150</v>
      </c>
      <c r="B140" s="3526">
        <v>2018030002</v>
      </c>
      <c r="C140" s="3525" t="s">
        <v>3048</v>
      </c>
      <c r="D140" s="3525" t="s">
        <v>3049</v>
      </c>
      <c r="E140" s="3526" t="s">
        <v>3475</v>
      </c>
      <c r="F140" s="3525" t="s">
        <v>3151</v>
      </c>
      <c r="G140" s="3525" t="s">
        <v>3051</v>
      </c>
      <c r="H140" s="3526">
        <v>53333</v>
      </c>
      <c r="I140" s="3526">
        <v>170665.60000000001</v>
      </c>
      <c r="J140" s="3526" t="s">
        <v>3461</v>
      </c>
      <c r="K140" s="3525" t="s">
        <v>3358</v>
      </c>
      <c r="L140" s="3526" t="s">
        <v>3465</v>
      </c>
      <c r="M140" s="3525" t="s">
        <v>3052</v>
      </c>
      <c r="N140" s="3525" t="s">
        <v>3053</v>
      </c>
      <c r="O140" s="3525" t="s">
        <v>3280</v>
      </c>
      <c r="P140" s="3525" t="s">
        <v>3056</v>
      </c>
      <c r="Q140" s="3525" t="s">
        <v>3056</v>
      </c>
      <c r="R140" s="3525" t="s">
        <v>3056</v>
      </c>
      <c r="S140" s="3525" t="s">
        <v>3056</v>
      </c>
      <c r="T140" s="3525" t="s">
        <v>3056</v>
      </c>
      <c r="U140" s="3525" t="s">
        <v>3056</v>
      </c>
      <c r="V140" s="3525" t="s">
        <v>3056</v>
      </c>
      <c r="W140" s="3525" t="s">
        <v>3056</v>
      </c>
      <c r="X140" s="3527">
        <v>43425.000497685185</v>
      </c>
      <c r="Y140" s="3527">
        <v>43445.000497685185</v>
      </c>
      <c r="Z140" s="3527">
        <v>43454.000497685185</v>
      </c>
      <c r="AA140" s="3528">
        <v>43454.000497685185</v>
      </c>
      <c r="AB140" s="3525" t="s">
        <v>3334</v>
      </c>
      <c r="AC140" s="3525" t="s">
        <v>3058</v>
      </c>
      <c r="AD140" s="3526" t="s">
        <v>3421</v>
      </c>
      <c r="AE140" s="3526" t="s">
        <v>3422</v>
      </c>
      <c r="AF140" s="3525">
        <v>31999.79</v>
      </c>
      <c r="AG140" s="3525">
        <v>7000</v>
      </c>
      <c r="AH140" s="3525">
        <v>31999.79</v>
      </c>
      <c r="AI140" s="3525">
        <v>400</v>
      </c>
      <c r="AJ140" s="3526">
        <v>400</v>
      </c>
      <c r="AK140" s="3525">
        <v>1875</v>
      </c>
      <c r="AL140" s="3526">
        <v>1875</v>
      </c>
      <c r="AM140" s="3525" t="s">
        <v>3056</v>
      </c>
      <c r="AN140" s="3525" t="s">
        <v>3056</v>
      </c>
      <c r="AO140" s="3526">
        <v>0</v>
      </c>
      <c r="AP140" s="3526" t="s">
        <v>3059</v>
      </c>
      <c r="AQ140" s="3526">
        <v>0</v>
      </c>
      <c r="AR140" s="3526">
        <v>0</v>
      </c>
    </row>
    <row r="141" spans="1:44" s="3292" customFormat="1" ht="14.25" hidden="1" customHeight="1">
      <c r="A141" s="3526" t="s">
        <v>3150</v>
      </c>
      <c r="B141" s="3526">
        <v>2018030004</v>
      </c>
      <c r="C141" s="3525" t="s">
        <v>3048</v>
      </c>
      <c r="D141" s="3525" t="s">
        <v>3049</v>
      </c>
      <c r="E141" s="3526" t="s">
        <v>3475</v>
      </c>
      <c r="F141" s="3525" t="s">
        <v>3151</v>
      </c>
      <c r="G141" s="3525" t="s">
        <v>3051</v>
      </c>
      <c r="H141" s="3526">
        <v>53333</v>
      </c>
      <c r="I141" s="3526">
        <v>170665.60000000001</v>
      </c>
      <c r="J141" s="3526" t="s">
        <v>3461</v>
      </c>
      <c r="K141" s="3525" t="s">
        <v>3358</v>
      </c>
      <c r="L141" s="3526" t="s">
        <v>3465</v>
      </c>
      <c r="M141" s="3525" t="s">
        <v>3052</v>
      </c>
      <c r="N141" s="3525" t="s">
        <v>3053</v>
      </c>
      <c r="O141" s="3525" t="s">
        <v>3280</v>
      </c>
      <c r="P141" s="3525" t="s">
        <v>3056</v>
      </c>
      <c r="Q141" s="3525" t="s">
        <v>3056</v>
      </c>
      <c r="R141" s="3525" t="s">
        <v>3056</v>
      </c>
      <c r="S141" s="3525" t="s">
        <v>3056</v>
      </c>
      <c r="T141" s="3525" t="s">
        <v>3056</v>
      </c>
      <c r="U141" s="3525" t="s">
        <v>3056</v>
      </c>
      <c r="V141" s="3525" t="s">
        <v>3056</v>
      </c>
      <c r="W141" s="3525" t="s">
        <v>3056</v>
      </c>
      <c r="X141" s="3527">
        <v>43425.000497685185</v>
      </c>
      <c r="Y141" s="3527">
        <v>43445.000497685185</v>
      </c>
      <c r="Z141" s="3527">
        <v>43454.000497685185</v>
      </c>
      <c r="AA141" s="3528">
        <v>43454.000497685185</v>
      </c>
      <c r="AB141" s="3525" t="s">
        <v>3335</v>
      </c>
      <c r="AC141" s="3525" t="s">
        <v>3058</v>
      </c>
      <c r="AD141" s="3526" t="s">
        <v>3421</v>
      </c>
      <c r="AE141" s="3526" t="s">
        <v>3422</v>
      </c>
      <c r="AF141" s="3525">
        <v>31999.79</v>
      </c>
      <c r="AG141" s="3525">
        <v>7000</v>
      </c>
      <c r="AH141" s="3525">
        <v>31999.79</v>
      </c>
      <c r="AI141" s="3525">
        <v>400</v>
      </c>
      <c r="AJ141" s="3526">
        <v>400</v>
      </c>
      <c r="AK141" s="3525">
        <v>1875</v>
      </c>
      <c r="AL141" s="3526">
        <v>1875</v>
      </c>
      <c r="AM141" s="3525" t="s">
        <v>3056</v>
      </c>
      <c r="AN141" s="3525" t="s">
        <v>3056</v>
      </c>
      <c r="AO141" s="3526">
        <v>0</v>
      </c>
      <c r="AP141" s="3526" t="s">
        <v>3059</v>
      </c>
      <c r="AQ141" s="3526">
        <v>0</v>
      </c>
      <c r="AR141" s="3526">
        <v>0</v>
      </c>
    </row>
    <row r="142" spans="1:44" s="3292" customFormat="1" ht="14.25" hidden="1" customHeight="1">
      <c r="A142" s="3526" t="s">
        <v>3150</v>
      </c>
      <c r="B142" s="3526">
        <v>2018029003</v>
      </c>
      <c r="C142" s="3525" t="s">
        <v>3048</v>
      </c>
      <c r="D142" s="3525" t="s">
        <v>3049</v>
      </c>
      <c r="E142" s="3526" t="s">
        <v>3475</v>
      </c>
      <c r="F142" s="3525" t="s">
        <v>3151</v>
      </c>
      <c r="G142" s="3525" t="s">
        <v>3051</v>
      </c>
      <c r="H142" s="3526">
        <v>32514.5</v>
      </c>
      <c r="I142" s="3526">
        <v>107297.9</v>
      </c>
      <c r="J142" s="3526" t="s">
        <v>3477</v>
      </c>
      <c r="K142" s="3525" t="s">
        <v>3358</v>
      </c>
      <c r="L142" s="3526" t="s">
        <v>3465</v>
      </c>
      <c r="M142" s="3525" t="s">
        <v>3052</v>
      </c>
      <c r="N142" s="3525" t="s">
        <v>3053</v>
      </c>
      <c r="O142" s="3525" t="s">
        <v>3056</v>
      </c>
      <c r="P142" s="3525" t="s">
        <v>3056</v>
      </c>
      <c r="Q142" s="3525" t="s">
        <v>3056</v>
      </c>
      <c r="R142" s="3525" t="s">
        <v>3056</v>
      </c>
      <c r="S142" s="3525" t="s">
        <v>3056</v>
      </c>
      <c r="T142" s="3525" t="s">
        <v>3056</v>
      </c>
      <c r="U142" s="3525" t="s">
        <v>3056</v>
      </c>
      <c r="V142" s="3525" t="s">
        <v>3056</v>
      </c>
      <c r="W142" s="3525" t="s">
        <v>3056</v>
      </c>
      <c r="X142" s="3527">
        <v>43404.000497685185</v>
      </c>
      <c r="Y142" s="3527">
        <v>43424.000497685185</v>
      </c>
      <c r="Z142" s="3527">
        <v>43433.000497685185</v>
      </c>
      <c r="AA142" s="3528">
        <v>43433.000497685185</v>
      </c>
      <c r="AB142" s="3525" t="s">
        <v>3336</v>
      </c>
      <c r="AC142" s="3525" t="s">
        <v>3058</v>
      </c>
      <c r="AD142" s="3526" t="s">
        <v>3412</v>
      </c>
      <c r="AE142" s="3526" t="s">
        <v>3413</v>
      </c>
      <c r="AF142" s="3525">
        <v>19508.7</v>
      </c>
      <c r="AG142" s="3525">
        <v>4000</v>
      </c>
      <c r="AH142" s="3525">
        <v>19508.7</v>
      </c>
      <c r="AI142" s="3525">
        <v>400</v>
      </c>
      <c r="AJ142" s="3526">
        <v>400</v>
      </c>
      <c r="AK142" s="3525">
        <v>1818</v>
      </c>
      <c r="AL142" s="3526">
        <v>1818</v>
      </c>
      <c r="AM142" s="3525" t="s">
        <v>3056</v>
      </c>
      <c r="AN142" s="3525" t="s">
        <v>3056</v>
      </c>
      <c r="AO142" s="3526">
        <v>0</v>
      </c>
      <c r="AP142" s="3526" t="s">
        <v>3059</v>
      </c>
      <c r="AQ142" s="3526">
        <v>0</v>
      </c>
      <c r="AR142" s="3526">
        <v>0</v>
      </c>
    </row>
    <row r="143" spans="1:44" ht="14.25">
      <c r="A143" s="3525" t="s">
        <v>3337</v>
      </c>
      <c r="B143" s="3525">
        <v>2018029010</v>
      </c>
      <c r="C143" s="3525" t="s">
        <v>3048</v>
      </c>
      <c r="D143" s="3525" t="s">
        <v>3049</v>
      </c>
      <c r="E143" s="3525" t="s">
        <v>3382</v>
      </c>
      <c r="F143" s="3525" t="s">
        <v>3338</v>
      </c>
      <c r="G143" s="3525" t="s">
        <v>3051</v>
      </c>
      <c r="H143" s="3525">
        <v>12599</v>
      </c>
      <c r="I143" s="3525">
        <v>37797</v>
      </c>
      <c r="J143" s="3525" t="s">
        <v>3456</v>
      </c>
      <c r="K143" s="3525" t="s">
        <v>3358</v>
      </c>
      <c r="L143" s="3525" t="s">
        <v>3465</v>
      </c>
      <c r="M143" s="3525" t="s">
        <v>3052</v>
      </c>
      <c r="N143" s="3525" t="s">
        <v>3053</v>
      </c>
      <c r="O143" s="3525" t="s">
        <v>3056</v>
      </c>
      <c r="P143" s="3525" t="s">
        <v>3056</v>
      </c>
      <c r="Q143" s="3525" t="s">
        <v>3056</v>
      </c>
      <c r="R143" s="3525" t="s">
        <v>3056</v>
      </c>
      <c r="S143" s="3525" t="s">
        <v>3056</v>
      </c>
      <c r="T143" s="3525" t="s">
        <v>3056</v>
      </c>
      <c r="U143" s="3525" t="s">
        <v>3056</v>
      </c>
      <c r="V143" s="3525" t="s">
        <v>3056</v>
      </c>
      <c r="W143" s="3525" t="s">
        <v>3056</v>
      </c>
      <c r="X143" s="3527">
        <v>43404.000497685185</v>
      </c>
      <c r="Y143" s="3527">
        <v>43424.000497685185</v>
      </c>
      <c r="Z143" s="3527">
        <v>43433.000497685185</v>
      </c>
      <c r="AA143" s="3527">
        <v>43433.000497685185</v>
      </c>
      <c r="AB143" s="3525" t="s">
        <v>3339</v>
      </c>
      <c r="AC143" s="3525" t="s">
        <v>3058</v>
      </c>
      <c r="AD143" s="3525" t="s">
        <v>3412</v>
      </c>
      <c r="AE143" s="3525" t="s">
        <v>3413</v>
      </c>
      <c r="AF143" s="3525">
        <v>11339.1</v>
      </c>
      <c r="AG143" s="3525">
        <v>2300</v>
      </c>
      <c r="AH143" s="3525">
        <v>11339.1</v>
      </c>
      <c r="AI143" s="3525">
        <v>600</v>
      </c>
      <c r="AJ143" s="3525">
        <v>600</v>
      </c>
      <c r="AK143" s="3525">
        <v>3000</v>
      </c>
      <c r="AL143" s="3525">
        <v>3000</v>
      </c>
      <c r="AM143" s="3525" t="s">
        <v>3056</v>
      </c>
      <c r="AN143" s="3525" t="s">
        <v>3056</v>
      </c>
      <c r="AO143" s="3525">
        <v>0</v>
      </c>
      <c r="AP143" s="3525" t="s">
        <v>3059</v>
      </c>
      <c r="AQ143" s="3525">
        <v>0</v>
      </c>
      <c r="AR143" s="3525">
        <v>0</v>
      </c>
    </row>
    <row r="144" spans="1:44" s="3292" customFormat="1" ht="14.25" hidden="1" customHeight="1">
      <c r="A144" s="3526" t="s">
        <v>3150</v>
      </c>
      <c r="B144" s="3526">
        <v>2018029008</v>
      </c>
      <c r="C144" s="3525" t="s">
        <v>3048</v>
      </c>
      <c r="D144" s="3525" t="s">
        <v>3049</v>
      </c>
      <c r="E144" s="3526" t="s">
        <v>3475</v>
      </c>
      <c r="F144" s="3525" t="s">
        <v>3151</v>
      </c>
      <c r="G144" s="3525" t="s">
        <v>3051</v>
      </c>
      <c r="H144" s="3526">
        <v>32517.3</v>
      </c>
      <c r="I144" s="3526">
        <v>107307.1</v>
      </c>
      <c r="J144" s="3526" t="s">
        <v>3477</v>
      </c>
      <c r="K144" s="3525" t="s">
        <v>3358</v>
      </c>
      <c r="L144" s="3526" t="s">
        <v>3465</v>
      </c>
      <c r="M144" s="3525" t="s">
        <v>3052</v>
      </c>
      <c r="N144" s="3525" t="s">
        <v>3053</v>
      </c>
      <c r="O144" s="3525" t="s">
        <v>3056</v>
      </c>
      <c r="P144" s="3525" t="s">
        <v>3056</v>
      </c>
      <c r="Q144" s="3525" t="s">
        <v>3056</v>
      </c>
      <c r="R144" s="3525" t="s">
        <v>3056</v>
      </c>
      <c r="S144" s="3525" t="s">
        <v>3056</v>
      </c>
      <c r="T144" s="3525" t="s">
        <v>3056</v>
      </c>
      <c r="U144" s="3525" t="s">
        <v>3056</v>
      </c>
      <c r="V144" s="3525" t="s">
        <v>3056</v>
      </c>
      <c r="W144" s="3525" t="s">
        <v>3056</v>
      </c>
      <c r="X144" s="3527">
        <v>43404.000497685185</v>
      </c>
      <c r="Y144" s="3527">
        <v>43424.000497685185</v>
      </c>
      <c r="Z144" s="3527">
        <v>43433.000497685185</v>
      </c>
      <c r="AA144" s="3528">
        <v>43433.000497685185</v>
      </c>
      <c r="AB144" s="3525" t="s">
        <v>3340</v>
      </c>
      <c r="AC144" s="3525" t="s">
        <v>3058</v>
      </c>
      <c r="AD144" s="3526" t="s">
        <v>3412</v>
      </c>
      <c r="AE144" s="3526" t="s">
        <v>3413</v>
      </c>
      <c r="AF144" s="3525">
        <v>19510.38</v>
      </c>
      <c r="AG144" s="3525">
        <v>4000</v>
      </c>
      <c r="AH144" s="3525">
        <v>19510.38</v>
      </c>
      <c r="AI144" s="3525">
        <v>400</v>
      </c>
      <c r="AJ144" s="3526">
        <v>400</v>
      </c>
      <c r="AK144" s="3525">
        <v>1818</v>
      </c>
      <c r="AL144" s="3526">
        <v>1818</v>
      </c>
      <c r="AM144" s="3525" t="s">
        <v>3056</v>
      </c>
      <c r="AN144" s="3525" t="s">
        <v>3056</v>
      </c>
      <c r="AO144" s="3526">
        <v>0</v>
      </c>
      <c r="AP144" s="3526" t="s">
        <v>3059</v>
      </c>
      <c r="AQ144" s="3526">
        <v>0</v>
      </c>
      <c r="AR144" s="3526">
        <v>0</v>
      </c>
    </row>
    <row r="145" spans="1:44" ht="14.25">
      <c r="A145" s="3525" t="s">
        <v>3341</v>
      </c>
      <c r="B145" s="3525">
        <v>2018029002</v>
      </c>
      <c r="C145" s="3525" t="s">
        <v>3048</v>
      </c>
      <c r="D145" s="3525" t="s">
        <v>3049</v>
      </c>
      <c r="E145" s="3525" t="s">
        <v>3369</v>
      </c>
      <c r="F145" s="3525" t="s">
        <v>3342</v>
      </c>
      <c r="G145" s="3525" t="s">
        <v>3051</v>
      </c>
      <c r="H145" s="3525">
        <v>16399</v>
      </c>
      <c r="I145" s="3525">
        <v>49197</v>
      </c>
      <c r="J145" s="3525" t="s">
        <v>3456</v>
      </c>
      <c r="K145" s="3525" t="s">
        <v>3358</v>
      </c>
      <c r="L145" s="3525" t="s">
        <v>3465</v>
      </c>
      <c r="M145" s="3525" t="s">
        <v>3052</v>
      </c>
      <c r="N145" s="3525" t="s">
        <v>3053</v>
      </c>
      <c r="O145" s="3525" t="s">
        <v>3056</v>
      </c>
      <c r="P145" s="3525" t="s">
        <v>3056</v>
      </c>
      <c r="Q145" s="3525" t="s">
        <v>3056</v>
      </c>
      <c r="R145" s="3525" t="s">
        <v>3056</v>
      </c>
      <c r="S145" s="3525" t="s">
        <v>3056</v>
      </c>
      <c r="T145" s="3525" t="s">
        <v>3056</v>
      </c>
      <c r="U145" s="3525" t="s">
        <v>3056</v>
      </c>
      <c r="V145" s="3525" t="s">
        <v>3056</v>
      </c>
      <c r="W145" s="3525" t="s">
        <v>3056</v>
      </c>
      <c r="X145" s="3527">
        <v>43404.000497685185</v>
      </c>
      <c r="Y145" s="3527">
        <v>43424.000497685185</v>
      </c>
      <c r="Z145" s="3527">
        <v>43433.000497685185</v>
      </c>
      <c r="AA145" s="3527">
        <v>43433.000497685185</v>
      </c>
      <c r="AB145" s="3525" t="s">
        <v>3343</v>
      </c>
      <c r="AC145" s="3525" t="s">
        <v>3058</v>
      </c>
      <c r="AD145" s="3525" t="s">
        <v>3412</v>
      </c>
      <c r="AE145" s="3525" t="s">
        <v>3413</v>
      </c>
      <c r="AF145" s="3525">
        <v>14759.1</v>
      </c>
      <c r="AG145" s="3525">
        <v>3000</v>
      </c>
      <c r="AH145" s="3525">
        <v>14759.1</v>
      </c>
      <c r="AI145" s="3525">
        <v>600</v>
      </c>
      <c r="AJ145" s="3525">
        <v>600</v>
      </c>
      <c r="AK145" s="3525">
        <v>3000</v>
      </c>
      <c r="AL145" s="3525">
        <v>3000</v>
      </c>
      <c r="AM145" s="3525" t="s">
        <v>3056</v>
      </c>
      <c r="AN145" s="3525" t="s">
        <v>3056</v>
      </c>
      <c r="AO145" s="3525">
        <v>0</v>
      </c>
      <c r="AP145" s="3525" t="s">
        <v>3059</v>
      </c>
      <c r="AQ145" s="3525">
        <v>0</v>
      </c>
      <c r="AR145" s="3525">
        <v>0</v>
      </c>
    </row>
    <row r="146" spans="1:44" s="3292" customFormat="1" ht="14.25" hidden="1" customHeight="1">
      <c r="A146" s="3526" t="s">
        <v>3150</v>
      </c>
      <c r="B146" s="3526">
        <v>2018029006</v>
      </c>
      <c r="C146" s="3525" t="s">
        <v>3048</v>
      </c>
      <c r="D146" s="3525" t="s">
        <v>3049</v>
      </c>
      <c r="E146" s="3526" t="s">
        <v>3478</v>
      </c>
      <c r="F146" s="3525" t="s">
        <v>3151</v>
      </c>
      <c r="G146" s="3525" t="s">
        <v>3051</v>
      </c>
      <c r="H146" s="3526">
        <v>32087.7</v>
      </c>
      <c r="I146" s="3526">
        <v>105889.4</v>
      </c>
      <c r="J146" s="3526" t="s">
        <v>3477</v>
      </c>
      <c r="K146" s="3525" t="s">
        <v>3358</v>
      </c>
      <c r="L146" s="3526" t="s">
        <v>3465</v>
      </c>
      <c r="M146" s="3525" t="s">
        <v>3052</v>
      </c>
      <c r="N146" s="3525" t="s">
        <v>3053</v>
      </c>
      <c r="O146" s="3525" t="s">
        <v>3056</v>
      </c>
      <c r="P146" s="3525" t="s">
        <v>3056</v>
      </c>
      <c r="Q146" s="3525" t="s">
        <v>3056</v>
      </c>
      <c r="R146" s="3525" t="s">
        <v>3056</v>
      </c>
      <c r="S146" s="3525" t="s">
        <v>3056</v>
      </c>
      <c r="T146" s="3525" t="s">
        <v>3056</v>
      </c>
      <c r="U146" s="3525" t="s">
        <v>3056</v>
      </c>
      <c r="V146" s="3525" t="s">
        <v>3056</v>
      </c>
      <c r="W146" s="3525" t="s">
        <v>3056</v>
      </c>
      <c r="X146" s="3527">
        <v>43404.000497685185</v>
      </c>
      <c r="Y146" s="3527">
        <v>43424.000497685185</v>
      </c>
      <c r="Z146" s="3527">
        <v>43433.000497685185</v>
      </c>
      <c r="AA146" s="3528">
        <v>43433.000497685185</v>
      </c>
      <c r="AB146" s="3525" t="s">
        <v>3344</v>
      </c>
      <c r="AC146" s="3525" t="s">
        <v>3058</v>
      </c>
      <c r="AD146" s="3526" t="s">
        <v>3412</v>
      </c>
      <c r="AE146" s="3526" t="s">
        <v>3413</v>
      </c>
      <c r="AF146" s="3525">
        <v>19252.61</v>
      </c>
      <c r="AG146" s="3525">
        <v>4000</v>
      </c>
      <c r="AH146" s="3525">
        <v>19252.61</v>
      </c>
      <c r="AI146" s="3525">
        <v>400</v>
      </c>
      <c r="AJ146" s="3526">
        <v>400</v>
      </c>
      <c r="AK146" s="3525">
        <v>1818</v>
      </c>
      <c r="AL146" s="3526">
        <v>1818</v>
      </c>
      <c r="AM146" s="3525" t="s">
        <v>3056</v>
      </c>
      <c r="AN146" s="3525" t="s">
        <v>3056</v>
      </c>
      <c r="AO146" s="3526">
        <v>0</v>
      </c>
      <c r="AP146" s="3526" t="s">
        <v>3059</v>
      </c>
      <c r="AQ146" s="3526">
        <v>0</v>
      </c>
      <c r="AR146" s="3526">
        <v>0</v>
      </c>
    </row>
    <row r="147" spans="1:44" s="3292" customFormat="1" ht="14.25" hidden="1" customHeight="1">
      <c r="A147" s="3526" t="s">
        <v>3150</v>
      </c>
      <c r="B147" s="3526">
        <v>2018029007</v>
      </c>
      <c r="C147" s="3525" t="s">
        <v>3048</v>
      </c>
      <c r="D147" s="3525" t="s">
        <v>3049</v>
      </c>
      <c r="E147" s="3526" t="s">
        <v>3478</v>
      </c>
      <c r="F147" s="3525" t="s">
        <v>3151</v>
      </c>
      <c r="G147" s="3525" t="s">
        <v>3051</v>
      </c>
      <c r="H147" s="3526">
        <v>32006.2</v>
      </c>
      <c r="I147" s="3526">
        <v>105620.5</v>
      </c>
      <c r="J147" s="3526" t="s">
        <v>3477</v>
      </c>
      <c r="K147" s="3525" t="s">
        <v>3358</v>
      </c>
      <c r="L147" s="3526" t="s">
        <v>3465</v>
      </c>
      <c r="M147" s="3525" t="s">
        <v>3052</v>
      </c>
      <c r="N147" s="3525" t="s">
        <v>3053</v>
      </c>
      <c r="O147" s="3525" t="s">
        <v>3056</v>
      </c>
      <c r="P147" s="3525" t="s">
        <v>3056</v>
      </c>
      <c r="Q147" s="3525" t="s">
        <v>3056</v>
      </c>
      <c r="R147" s="3525" t="s">
        <v>3056</v>
      </c>
      <c r="S147" s="3525" t="s">
        <v>3056</v>
      </c>
      <c r="T147" s="3525" t="s">
        <v>3056</v>
      </c>
      <c r="U147" s="3525" t="s">
        <v>3056</v>
      </c>
      <c r="V147" s="3525" t="s">
        <v>3056</v>
      </c>
      <c r="W147" s="3525" t="s">
        <v>3056</v>
      </c>
      <c r="X147" s="3527">
        <v>43404.000497685185</v>
      </c>
      <c r="Y147" s="3527">
        <v>43424.000497685185</v>
      </c>
      <c r="Z147" s="3527">
        <v>43433.000497685185</v>
      </c>
      <c r="AA147" s="3528">
        <v>43433.000497685185</v>
      </c>
      <c r="AB147" s="3525" t="s">
        <v>3345</v>
      </c>
      <c r="AC147" s="3525" t="s">
        <v>3058</v>
      </c>
      <c r="AD147" s="3526" t="s">
        <v>3412</v>
      </c>
      <c r="AE147" s="3526" t="s">
        <v>3413</v>
      </c>
      <c r="AF147" s="3525">
        <v>19203.72</v>
      </c>
      <c r="AG147" s="3525">
        <v>4000</v>
      </c>
      <c r="AH147" s="3525">
        <v>19203.72</v>
      </c>
      <c r="AI147" s="3525">
        <v>400</v>
      </c>
      <c r="AJ147" s="3526">
        <v>400</v>
      </c>
      <c r="AK147" s="3525">
        <v>1818</v>
      </c>
      <c r="AL147" s="3526">
        <v>1818</v>
      </c>
      <c r="AM147" s="3525" t="s">
        <v>3056</v>
      </c>
      <c r="AN147" s="3525" t="s">
        <v>3056</v>
      </c>
      <c r="AO147" s="3526">
        <v>0</v>
      </c>
      <c r="AP147" s="3526" t="s">
        <v>3059</v>
      </c>
      <c r="AQ147" s="3526">
        <v>0</v>
      </c>
      <c r="AR147" s="3526">
        <v>0</v>
      </c>
    </row>
    <row r="148" spans="1:44" ht="14.25">
      <c r="A148" s="3525" t="s">
        <v>3346</v>
      </c>
      <c r="B148" s="3525">
        <v>2018029011</v>
      </c>
      <c r="C148" s="3525" t="s">
        <v>3048</v>
      </c>
      <c r="D148" s="3525" t="s">
        <v>3049</v>
      </c>
      <c r="E148" s="3525" t="s">
        <v>3382</v>
      </c>
      <c r="F148" s="3525" t="s">
        <v>3347</v>
      </c>
      <c r="G148" s="3525" t="s">
        <v>3051</v>
      </c>
      <c r="H148" s="3525">
        <v>8704</v>
      </c>
      <c r="I148" s="3525">
        <v>26112</v>
      </c>
      <c r="J148" s="3525" t="s">
        <v>3456</v>
      </c>
      <c r="K148" s="3525" t="s">
        <v>3358</v>
      </c>
      <c r="L148" s="3525" t="s">
        <v>3465</v>
      </c>
      <c r="M148" s="3525" t="s">
        <v>3052</v>
      </c>
      <c r="N148" s="3525" t="s">
        <v>3053</v>
      </c>
      <c r="O148" s="3525" t="s">
        <v>3056</v>
      </c>
      <c r="P148" s="3525" t="s">
        <v>3056</v>
      </c>
      <c r="Q148" s="3525" t="s">
        <v>3056</v>
      </c>
      <c r="R148" s="3525" t="s">
        <v>3056</v>
      </c>
      <c r="S148" s="3525" t="s">
        <v>3056</v>
      </c>
      <c r="T148" s="3525" t="s">
        <v>3056</v>
      </c>
      <c r="U148" s="3525" t="s">
        <v>3056</v>
      </c>
      <c r="V148" s="3525" t="s">
        <v>3056</v>
      </c>
      <c r="W148" s="3525" t="s">
        <v>3056</v>
      </c>
      <c r="X148" s="3527">
        <v>43404.000497685185</v>
      </c>
      <c r="Y148" s="3527">
        <v>43424.000497685185</v>
      </c>
      <c r="Z148" s="3527">
        <v>43433.000497685185</v>
      </c>
      <c r="AA148" s="3527">
        <v>43433.000497685185</v>
      </c>
      <c r="AB148" s="3525" t="s">
        <v>3348</v>
      </c>
      <c r="AC148" s="3525" t="s">
        <v>3058</v>
      </c>
      <c r="AD148" s="3525" t="s">
        <v>3412</v>
      </c>
      <c r="AE148" s="3525" t="s">
        <v>3413</v>
      </c>
      <c r="AF148" s="3525">
        <v>7833.6</v>
      </c>
      <c r="AG148" s="3525">
        <v>1600</v>
      </c>
      <c r="AH148" s="3525">
        <v>7833.6</v>
      </c>
      <c r="AI148" s="3525">
        <v>600</v>
      </c>
      <c r="AJ148" s="3525">
        <v>600</v>
      </c>
      <c r="AK148" s="3525">
        <v>3000</v>
      </c>
      <c r="AL148" s="3525">
        <v>3000</v>
      </c>
      <c r="AM148" s="3525" t="s">
        <v>3056</v>
      </c>
      <c r="AN148" s="3525" t="s">
        <v>3056</v>
      </c>
      <c r="AO148" s="3525">
        <v>0</v>
      </c>
      <c r="AP148" s="3525" t="s">
        <v>3059</v>
      </c>
      <c r="AQ148" s="3525">
        <v>0</v>
      </c>
      <c r="AR148" s="3525">
        <v>0</v>
      </c>
    </row>
    <row r="149" spans="1:44" ht="14.25">
      <c r="A149" s="3525" t="s">
        <v>3349</v>
      </c>
      <c r="B149" s="3525">
        <v>2018029012</v>
      </c>
      <c r="C149" s="3525" t="s">
        <v>3048</v>
      </c>
      <c r="D149" s="3525" t="s">
        <v>3049</v>
      </c>
      <c r="E149" s="3525" t="s">
        <v>3382</v>
      </c>
      <c r="F149" s="3525" t="s">
        <v>3350</v>
      </c>
      <c r="G149" s="3525" t="s">
        <v>3051</v>
      </c>
      <c r="H149" s="3525">
        <v>23548</v>
      </c>
      <c r="I149" s="3525">
        <v>70644</v>
      </c>
      <c r="J149" s="3525" t="s">
        <v>3456</v>
      </c>
      <c r="K149" s="3525" t="s">
        <v>3358</v>
      </c>
      <c r="L149" s="3525" t="s">
        <v>3465</v>
      </c>
      <c r="M149" s="3525" t="s">
        <v>3052</v>
      </c>
      <c r="N149" s="3525" t="s">
        <v>3053</v>
      </c>
      <c r="O149" s="3525" t="s">
        <v>3056</v>
      </c>
      <c r="P149" s="3525" t="s">
        <v>3056</v>
      </c>
      <c r="Q149" s="3525" t="s">
        <v>3056</v>
      </c>
      <c r="R149" s="3525" t="s">
        <v>3056</v>
      </c>
      <c r="S149" s="3525" t="s">
        <v>3056</v>
      </c>
      <c r="T149" s="3525" t="s">
        <v>3056</v>
      </c>
      <c r="U149" s="3525" t="s">
        <v>3056</v>
      </c>
      <c r="V149" s="3525" t="s">
        <v>3056</v>
      </c>
      <c r="W149" s="3525" t="s">
        <v>3056</v>
      </c>
      <c r="X149" s="3527">
        <v>43404.000497685185</v>
      </c>
      <c r="Y149" s="3527">
        <v>43424.000497685185</v>
      </c>
      <c r="Z149" s="3527">
        <v>43433.000497685185</v>
      </c>
      <c r="AA149" s="3527">
        <v>43433.000497685185</v>
      </c>
      <c r="AB149" s="3525" t="s">
        <v>3351</v>
      </c>
      <c r="AC149" s="3525" t="s">
        <v>3058</v>
      </c>
      <c r="AD149" s="3525" t="s">
        <v>3412</v>
      </c>
      <c r="AE149" s="3525" t="s">
        <v>3413</v>
      </c>
      <c r="AF149" s="3525">
        <v>21193.200000000001</v>
      </c>
      <c r="AG149" s="3525">
        <v>4300</v>
      </c>
      <c r="AH149" s="3525">
        <v>21193.200000000001</v>
      </c>
      <c r="AI149" s="3525">
        <v>600</v>
      </c>
      <c r="AJ149" s="3525">
        <v>600</v>
      </c>
      <c r="AK149" s="3525">
        <v>3000</v>
      </c>
      <c r="AL149" s="3525">
        <v>3000</v>
      </c>
      <c r="AM149" s="3525" t="s">
        <v>3056</v>
      </c>
      <c r="AN149" s="3525" t="s">
        <v>3056</v>
      </c>
      <c r="AO149" s="3525">
        <v>0</v>
      </c>
      <c r="AP149" s="3525" t="s">
        <v>3059</v>
      </c>
      <c r="AQ149" s="3525">
        <v>0</v>
      </c>
      <c r="AR149" s="3525">
        <v>0</v>
      </c>
    </row>
    <row r="150" spans="1:44" s="3292" customFormat="1" ht="14.25" hidden="1" customHeight="1">
      <c r="A150" s="3526" t="s">
        <v>3150</v>
      </c>
      <c r="B150" s="3526">
        <v>2018029004</v>
      </c>
      <c r="C150" s="3525" t="s">
        <v>3048</v>
      </c>
      <c r="D150" s="3525" t="s">
        <v>3049</v>
      </c>
      <c r="E150" s="3526" t="s">
        <v>3475</v>
      </c>
      <c r="F150" s="3525" t="s">
        <v>3151</v>
      </c>
      <c r="G150" s="3525" t="s">
        <v>3051</v>
      </c>
      <c r="H150" s="3526">
        <v>32219</v>
      </c>
      <c r="I150" s="3526">
        <v>106322.7</v>
      </c>
      <c r="J150" s="3526" t="s">
        <v>3477</v>
      </c>
      <c r="K150" s="3525" t="s">
        <v>3358</v>
      </c>
      <c r="L150" s="3526" t="s">
        <v>3465</v>
      </c>
      <c r="M150" s="3525" t="s">
        <v>3052</v>
      </c>
      <c r="N150" s="3525" t="s">
        <v>3053</v>
      </c>
      <c r="O150" s="3525" t="s">
        <v>3056</v>
      </c>
      <c r="P150" s="3525" t="s">
        <v>3056</v>
      </c>
      <c r="Q150" s="3525" t="s">
        <v>3056</v>
      </c>
      <c r="R150" s="3525" t="s">
        <v>3056</v>
      </c>
      <c r="S150" s="3525" t="s">
        <v>3056</v>
      </c>
      <c r="T150" s="3525" t="s">
        <v>3056</v>
      </c>
      <c r="U150" s="3525" t="s">
        <v>3056</v>
      </c>
      <c r="V150" s="3525" t="s">
        <v>3056</v>
      </c>
      <c r="W150" s="3525" t="s">
        <v>3056</v>
      </c>
      <c r="X150" s="3527">
        <v>43404.000497685185</v>
      </c>
      <c r="Y150" s="3527">
        <v>43424.000497685185</v>
      </c>
      <c r="Z150" s="3527">
        <v>43433.000497685185</v>
      </c>
      <c r="AA150" s="3528">
        <v>43433.000497685185</v>
      </c>
      <c r="AB150" s="3525" t="s">
        <v>3352</v>
      </c>
      <c r="AC150" s="3525" t="s">
        <v>3058</v>
      </c>
      <c r="AD150" s="3526" t="s">
        <v>3412</v>
      </c>
      <c r="AE150" s="3526" t="s">
        <v>3413</v>
      </c>
      <c r="AF150" s="3525">
        <v>19331.400000000001</v>
      </c>
      <c r="AG150" s="3525">
        <v>4000</v>
      </c>
      <c r="AH150" s="3525">
        <v>19331.400000000001</v>
      </c>
      <c r="AI150" s="3525">
        <v>400</v>
      </c>
      <c r="AJ150" s="3526">
        <v>400</v>
      </c>
      <c r="AK150" s="3525">
        <v>1818</v>
      </c>
      <c r="AL150" s="3526">
        <v>1818</v>
      </c>
      <c r="AM150" s="3525" t="s">
        <v>3056</v>
      </c>
      <c r="AN150" s="3525" t="s">
        <v>3056</v>
      </c>
      <c r="AO150" s="3526">
        <v>0</v>
      </c>
      <c r="AP150" s="3526" t="s">
        <v>3059</v>
      </c>
      <c r="AQ150" s="3526">
        <v>0</v>
      </c>
      <c r="AR150" s="3526">
        <v>0</v>
      </c>
    </row>
    <row r="151" spans="1:44" ht="14.25">
      <c r="A151" s="3525" t="s">
        <v>3353</v>
      </c>
      <c r="B151" s="3525">
        <v>2018029001</v>
      </c>
      <c r="C151" s="3525" t="s">
        <v>3048</v>
      </c>
      <c r="D151" s="3525" t="s">
        <v>3049</v>
      </c>
      <c r="E151" s="3525" t="s">
        <v>3382</v>
      </c>
      <c r="F151" s="3525" t="s">
        <v>3354</v>
      </c>
      <c r="G151" s="3525" t="s">
        <v>3051</v>
      </c>
      <c r="H151" s="3525">
        <v>591.53</v>
      </c>
      <c r="I151" s="3525">
        <v>1774.59</v>
      </c>
      <c r="J151" s="3525" t="s">
        <v>3456</v>
      </c>
      <c r="K151" s="3525" t="s">
        <v>3358</v>
      </c>
      <c r="L151" s="3525" t="s">
        <v>3465</v>
      </c>
      <c r="M151" s="3525" t="s">
        <v>3052</v>
      </c>
      <c r="N151" s="3525" t="s">
        <v>3053</v>
      </c>
      <c r="O151" s="3525" t="s">
        <v>3056</v>
      </c>
      <c r="P151" s="3525" t="s">
        <v>3056</v>
      </c>
      <c r="Q151" s="3525" t="s">
        <v>3056</v>
      </c>
      <c r="R151" s="3525" t="s">
        <v>3056</v>
      </c>
      <c r="S151" s="3525" t="s">
        <v>3056</v>
      </c>
      <c r="T151" s="3525" t="s">
        <v>3056</v>
      </c>
      <c r="U151" s="3525" t="s">
        <v>3056</v>
      </c>
      <c r="V151" s="3525" t="s">
        <v>3056</v>
      </c>
      <c r="W151" s="3525" t="s">
        <v>3056</v>
      </c>
      <c r="X151" s="3527">
        <v>43404.000497685185</v>
      </c>
      <c r="Y151" s="3527">
        <v>43424.000497685185</v>
      </c>
      <c r="Z151" s="3527">
        <v>43433.000497685185</v>
      </c>
      <c r="AA151" s="3527">
        <v>43433.000497685185</v>
      </c>
      <c r="AB151" s="3525" t="s">
        <v>3355</v>
      </c>
      <c r="AC151" s="3525" t="s">
        <v>3058</v>
      </c>
      <c r="AD151" s="3525" t="s">
        <v>3412</v>
      </c>
      <c r="AE151" s="3525" t="s">
        <v>3413</v>
      </c>
      <c r="AF151" s="3525">
        <v>532.37</v>
      </c>
      <c r="AG151" s="3525">
        <v>110</v>
      </c>
      <c r="AH151" s="3525">
        <v>532.37</v>
      </c>
      <c r="AI151" s="3525">
        <v>599.99</v>
      </c>
      <c r="AJ151" s="3525">
        <v>599.99</v>
      </c>
      <c r="AK151" s="3525">
        <v>3000</v>
      </c>
      <c r="AL151" s="3525">
        <v>3000</v>
      </c>
      <c r="AM151" s="3525" t="s">
        <v>3056</v>
      </c>
      <c r="AN151" s="3525" t="s">
        <v>3056</v>
      </c>
      <c r="AO151" s="3525">
        <v>0</v>
      </c>
      <c r="AP151" s="3525" t="s">
        <v>3059</v>
      </c>
      <c r="AQ151" s="3525">
        <v>0</v>
      </c>
      <c r="AR151" s="3525">
        <v>0</v>
      </c>
    </row>
  </sheetData>
  <autoFilter ref="A1:AR151">
    <filterColumn colId="4">
      <filters>
        <filter val="城东"/>
        <filter val="海安"/>
        <filter val="曲塘"/>
      </filters>
    </filterColumn>
  </autoFilter>
  <mergeCells count="6644">
    <mergeCell ref="R102"/>
    <mergeCell ref="S102"/>
    <mergeCell ref="T102"/>
    <mergeCell ref="U102"/>
    <mergeCell ref="V102"/>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Q102"/>
    <mergeCell ref="W102"/>
    <mergeCell ref="X102"/>
    <mergeCell ref="Y102"/>
    <mergeCell ref="Z102"/>
    <mergeCell ref="AA102"/>
    <mergeCell ref="AB102"/>
    <mergeCell ref="AC102"/>
    <mergeCell ref="AD102"/>
    <mergeCell ref="AE102"/>
    <mergeCell ref="AF102"/>
    <mergeCell ref="AG102"/>
    <mergeCell ref="AH102"/>
    <mergeCell ref="AI102"/>
    <mergeCell ref="AJ102"/>
    <mergeCell ref="AK102"/>
    <mergeCell ref="AL102"/>
    <mergeCell ref="AM102"/>
    <mergeCell ref="AN102"/>
    <mergeCell ref="AO102"/>
    <mergeCell ref="AP102"/>
    <mergeCell ref="AQ102"/>
    <mergeCell ref="AR102"/>
    <mergeCell ref="A103"/>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R103"/>
    <mergeCell ref="S103"/>
    <mergeCell ref="T103"/>
    <mergeCell ref="U103"/>
    <mergeCell ref="V103"/>
    <mergeCell ref="W103"/>
    <mergeCell ref="X103"/>
    <mergeCell ref="Y103"/>
    <mergeCell ref="Z103"/>
    <mergeCell ref="AA103"/>
    <mergeCell ref="AB103"/>
    <mergeCell ref="AC103"/>
    <mergeCell ref="AD103"/>
    <mergeCell ref="AE103"/>
    <mergeCell ref="AF103"/>
    <mergeCell ref="AG103"/>
    <mergeCell ref="AH103"/>
    <mergeCell ref="AI103"/>
    <mergeCell ref="AJ103"/>
    <mergeCell ref="AK103"/>
    <mergeCell ref="AL103"/>
    <mergeCell ref="AM103"/>
    <mergeCell ref="AN103"/>
    <mergeCell ref="AO103"/>
    <mergeCell ref="AP103"/>
    <mergeCell ref="AQ103"/>
    <mergeCell ref="AR103"/>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R104"/>
    <mergeCell ref="S104"/>
    <mergeCell ref="T104"/>
    <mergeCell ref="U104"/>
    <mergeCell ref="V104"/>
    <mergeCell ref="W104"/>
    <mergeCell ref="X104"/>
    <mergeCell ref="Y104"/>
    <mergeCell ref="Z104"/>
    <mergeCell ref="AA104"/>
    <mergeCell ref="AB104"/>
    <mergeCell ref="AC104"/>
    <mergeCell ref="AD104"/>
    <mergeCell ref="AE104"/>
    <mergeCell ref="AF104"/>
    <mergeCell ref="AG104"/>
    <mergeCell ref="AH104"/>
    <mergeCell ref="AI104"/>
    <mergeCell ref="AJ104"/>
    <mergeCell ref="AK104"/>
    <mergeCell ref="AL104"/>
    <mergeCell ref="AM104"/>
    <mergeCell ref="AN104"/>
    <mergeCell ref="AO104"/>
    <mergeCell ref="AP104"/>
    <mergeCell ref="AQ104"/>
    <mergeCell ref="AR104"/>
    <mergeCell ref="A105"/>
    <mergeCell ref="B105"/>
    <mergeCell ref="C105"/>
    <mergeCell ref="D105"/>
    <mergeCell ref="E105"/>
    <mergeCell ref="F105"/>
    <mergeCell ref="G105"/>
    <mergeCell ref="H105"/>
    <mergeCell ref="I105"/>
    <mergeCell ref="J105"/>
    <mergeCell ref="K105"/>
    <mergeCell ref="L105"/>
    <mergeCell ref="M105"/>
    <mergeCell ref="N105"/>
    <mergeCell ref="O105"/>
    <mergeCell ref="P105"/>
    <mergeCell ref="Q105"/>
    <mergeCell ref="R105"/>
    <mergeCell ref="S105"/>
    <mergeCell ref="T105"/>
    <mergeCell ref="U105"/>
    <mergeCell ref="V105"/>
    <mergeCell ref="W105"/>
    <mergeCell ref="X105"/>
    <mergeCell ref="Y105"/>
    <mergeCell ref="Z105"/>
    <mergeCell ref="AA105"/>
    <mergeCell ref="AB105"/>
    <mergeCell ref="AC105"/>
    <mergeCell ref="AD105"/>
    <mergeCell ref="AE105"/>
    <mergeCell ref="AF105"/>
    <mergeCell ref="AG105"/>
    <mergeCell ref="AH105"/>
    <mergeCell ref="AI105"/>
    <mergeCell ref="AJ105"/>
    <mergeCell ref="AK105"/>
    <mergeCell ref="AL105"/>
    <mergeCell ref="AM105"/>
    <mergeCell ref="AN105"/>
    <mergeCell ref="AO105"/>
    <mergeCell ref="AP105"/>
    <mergeCell ref="AQ105"/>
    <mergeCell ref="AR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U106"/>
    <mergeCell ref="V106"/>
    <mergeCell ref="W106"/>
    <mergeCell ref="X106"/>
    <mergeCell ref="Y106"/>
    <mergeCell ref="Z106"/>
    <mergeCell ref="AA106"/>
    <mergeCell ref="AB106"/>
    <mergeCell ref="AC106"/>
    <mergeCell ref="AD106"/>
    <mergeCell ref="AE106"/>
    <mergeCell ref="AF106"/>
    <mergeCell ref="AG106"/>
    <mergeCell ref="AH106"/>
    <mergeCell ref="AI106"/>
    <mergeCell ref="AJ106"/>
    <mergeCell ref="AK106"/>
    <mergeCell ref="AL106"/>
    <mergeCell ref="AM106"/>
    <mergeCell ref="AN106"/>
    <mergeCell ref="AO106"/>
    <mergeCell ref="AP106"/>
    <mergeCell ref="AQ106"/>
    <mergeCell ref="AR106"/>
    <mergeCell ref="A107"/>
    <mergeCell ref="B107"/>
    <mergeCell ref="C107"/>
    <mergeCell ref="D107"/>
    <mergeCell ref="E107"/>
    <mergeCell ref="F107"/>
    <mergeCell ref="G107"/>
    <mergeCell ref="H107"/>
    <mergeCell ref="I107"/>
    <mergeCell ref="J107"/>
    <mergeCell ref="K107"/>
    <mergeCell ref="L107"/>
    <mergeCell ref="M107"/>
    <mergeCell ref="N107"/>
    <mergeCell ref="O107"/>
    <mergeCell ref="P107"/>
    <mergeCell ref="Q107"/>
    <mergeCell ref="R107"/>
    <mergeCell ref="S107"/>
    <mergeCell ref="T107"/>
    <mergeCell ref="U107"/>
    <mergeCell ref="V107"/>
    <mergeCell ref="W107"/>
    <mergeCell ref="X107"/>
    <mergeCell ref="Y107"/>
    <mergeCell ref="Z107"/>
    <mergeCell ref="AA107"/>
    <mergeCell ref="AB107"/>
    <mergeCell ref="AC107"/>
    <mergeCell ref="AD107"/>
    <mergeCell ref="AE107"/>
    <mergeCell ref="AF107"/>
    <mergeCell ref="AG107"/>
    <mergeCell ref="AH107"/>
    <mergeCell ref="AI107"/>
    <mergeCell ref="AJ107"/>
    <mergeCell ref="AK107"/>
    <mergeCell ref="AL107"/>
    <mergeCell ref="AM107"/>
    <mergeCell ref="AN107"/>
    <mergeCell ref="AO107"/>
    <mergeCell ref="AP107"/>
    <mergeCell ref="AQ107"/>
    <mergeCell ref="AR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U108"/>
    <mergeCell ref="V108"/>
    <mergeCell ref="W108"/>
    <mergeCell ref="X108"/>
    <mergeCell ref="Y108"/>
    <mergeCell ref="Z108"/>
    <mergeCell ref="AA108"/>
    <mergeCell ref="AB108"/>
    <mergeCell ref="AC108"/>
    <mergeCell ref="AD108"/>
    <mergeCell ref="AE108"/>
    <mergeCell ref="AF108"/>
    <mergeCell ref="AG108"/>
    <mergeCell ref="AH108"/>
    <mergeCell ref="AI108"/>
    <mergeCell ref="AJ108"/>
    <mergeCell ref="AK108"/>
    <mergeCell ref="AL108"/>
    <mergeCell ref="AM108"/>
    <mergeCell ref="AN108"/>
    <mergeCell ref="AO108"/>
    <mergeCell ref="AP108"/>
    <mergeCell ref="AQ108"/>
    <mergeCell ref="AR108"/>
    <mergeCell ref="A109"/>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9"/>
    <mergeCell ref="S109"/>
    <mergeCell ref="T109"/>
    <mergeCell ref="U109"/>
    <mergeCell ref="V109"/>
    <mergeCell ref="W109"/>
    <mergeCell ref="X109"/>
    <mergeCell ref="Y109"/>
    <mergeCell ref="Z109"/>
    <mergeCell ref="AA109"/>
    <mergeCell ref="AB109"/>
    <mergeCell ref="AC109"/>
    <mergeCell ref="AD109"/>
    <mergeCell ref="AE109"/>
    <mergeCell ref="AF109"/>
    <mergeCell ref="AG109"/>
    <mergeCell ref="AH109"/>
    <mergeCell ref="AI109"/>
    <mergeCell ref="AJ109"/>
    <mergeCell ref="AK109"/>
    <mergeCell ref="AL109"/>
    <mergeCell ref="AM109"/>
    <mergeCell ref="AN109"/>
    <mergeCell ref="AO109"/>
    <mergeCell ref="AP109"/>
    <mergeCell ref="AQ109"/>
    <mergeCell ref="AR109"/>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R110"/>
    <mergeCell ref="S110"/>
    <mergeCell ref="T110"/>
    <mergeCell ref="U110"/>
    <mergeCell ref="V110"/>
    <mergeCell ref="W110"/>
    <mergeCell ref="X110"/>
    <mergeCell ref="Y110"/>
    <mergeCell ref="Z110"/>
    <mergeCell ref="AA110"/>
    <mergeCell ref="AB110"/>
    <mergeCell ref="AC110"/>
    <mergeCell ref="AD110"/>
    <mergeCell ref="AE110"/>
    <mergeCell ref="AF110"/>
    <mergeCell ref="AG110"/>
    <mergeCell ref="AH110"/>
    <mergeCell ref="AI110"/>
    <mergeCell ref="AJ110"/>
    <mergeCell ref="AK110"/>
    <mergeCell ref="AL110"/>
    <mergeCell ref="AM110"/>
    <mergeCell ref="AN110"/>
    <mergeCell ref="AO110"/>
    <mergeCell ref="AP110"/>
    <mergeCell ref="AQ110"/>
    <mergeCell ref="AR110"/>
    <mergeCell ref="A111"/>
    <mergeCell ref="B111"/>
    <mergeCell ref="C111"/>
    <mergeCell ref="D111"/>
    <mergeCell ref="E111"/>
    <mergeCell ref="F111"/>
    <mergeCell ref="G111"/>
    <mergeCell ref="H111"/>
    <mergeCell ref="I111"/>
    <mergeCell ref="J111"/>
    <mergeCell ref="K111"/>
    <mergeCell ref="L111"/>
    <mergeCell ref="M111"/>
    <mergeCell ref="N111"/>
    <mergeCell ref="O111"/>
    <mergeCell ref="P111"/>
    <mergeCell ref="Q111"/>
    <mergeCell ref="R111"/>
    <mergeCell ref="S111"/>
    <mergeCell ref="T111"/>
    <mergeCell ref="U111"/>
    <mergeCell ref="V111"/>
    <mergeCell ref="W111"/>
    <mergeCell ref="X111"/>
    <mergeCell ref="Y111"/>
    <mergeCell ref="Z111"/>
    <mergeCell ref="AA111"/>
    <mergeCell ref="AB111"/>
    <mergeCell ref="AC111"/>
    <mergeCell ref="AD111"/>
    <mergeCell ref="AE111"/>
    <mergeCell ref="AF111"/>
    <mergeCell ref="AG111"/>
    <mergeCell ref="AH111"/>
    <mergeCell ref="AI111"/>
    <mergeCell ref="AJ111"/>
    <mergeCell ref="AK111"/>
    <mergeCell ref="AL111"/>
    <mergeCell ref="AM111"/>
    <mergeCell ref="AN111"/>
    <mergeCell ref="AO111"/>
    <mergeCell ref="AP111"/>
    <mergeCell ref="AQ111"/>
    <mergeCell ref="AR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U112"/>
    <mergeCell ref="V112"/>
    <mergeCell ref="W112"/>
    <mergeCell ref="X112"/>
    <mergeCell ref="Y112"/>
    <mergeCell ref="Z112"/>
    <mergeCell ref="AA112"/>
    <mergeCell ref="AB112"/>
    <mergeCell ref="AC112"/>
    <mergeCell ref="AD112"/>
    <mergeCell ref="AE112"/>
    <mergeCell ref="AF112"/>
    <mergeCell ref="AG112"/>
    <mergeCell ref="AH112"/>
    <mergeCell ref="AI112"/>
    <mergeCell ref="AJ112"/>
    <mergeCell ref="AK112"/>
    <mergeCell ref="AL112"/>
    <mergeCell ref="AM112"/>
    <mergeCell ref="AN112"/>
    <mergeCell ref="AO112"/>
    <mergeCell ref="AP112"/>
    <mergeCell ref="AQ112"/>
    <mergeCell ref="AR112"/>
    <mergeCell ref="A113"/>
    <mergeCell ref="B113"/>
    <mergeCell ref="C113"/>
    <mergeCell ref="D113"/>
    <mergeCell ref="E113"/>
    <mergeCell ref="F113"/>
    <mergeCell ref="G113"/>
    <mergeCell ref="H113"/>
    <mergeCell ref="I113"/>
    <mergeCell ref="J113"/>
    <mergeCell ref="K113"/>
    <mergeCell ref="L113"/>
    <mergeCell ref="M113"/>
    <mergeCell ref="N113"/>
    <mergeCell ref="O113"/>
    <mergeCell ref="P113"/>
    <mergeCell ref="Q113"/>
    <mergeCell ref="R113"/>
    <mergeCell ref="S113"/>
    <mergeCell ref="T113"/>
    <mergeCell ref="U113"/>
    <mergeCell ref="V113"/>
    <mergeCell ref="W113"/>
    <mergeCell ref="X113"/>
    <mergeCell ref="Y113"/>
    <mergeCell ref="Z113"/>
    <mergeCell ref="AA113"/>
    <mergeCell ref="AB113"/>
    <mergeCell ref="AC113"/>
    <mergeCell ref="AD113"/>
    <mergeCell ref="AE113"/>
    <mergeCell ref="AF113"/>
    <mergeCell ref="AG113"/>
    <mergeCell ref="AH113"/>
    <mergeCell ref="AI113"/>
    <mergeCell ref="AJ113"/>
    <mergeCell ref="AK113"/>
    <mergeCell ref="AL113"/>
    <mergeCell ref="AM113"/>
    <mergeCell ref="AN113"/>
    <mergeCell ref="AO113"/>
    <mergeCell ref="AP113"/>
    <mergeCell ref="AQ113"/>
    <mergeCell ref="AR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U114"/>
    <mergeCell ref="V114"/>
    <mergeCell ref="W114"/>
    <mergeCell ref="X114"/>
    <mergeCell ref="Y114"/>
    <mergeCell ref="Z114"/>
    <mergeCell ref="AA114"/>
    <mergeCell ref="AB114"/>
    <mergeCell ref="AC114"/>
    <mergeCell ref="AD114"/>
    <mergeCell ref="AE114"/>
    <mergeCell ref="AF114"/>
    <mergeCell ref="AG114"/>
    <mergeCell ref="AH114"/>
    <mergeCell ref="AI114"/>
    <mergeCell ref="AJ114"/>
    <mergeCell ref="AK114"/>
    <mergeCell ref="AL114"/>
    <mergeCell ref="AM114"/>
    <mergeCell ref="AN114"/>
    <mergeCell ref="AO114"/>
    <mergeCell ref="AP114"/>
    <mergeCell ref="AQ114"/>
    <mergeCell ref="AR114"/>
    <mergeCell ref="A115"/>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5"/>
    <mergeCell ref="S115"/>
    <mergeCell ref="T115"/>
    <mergeCell ref="U115"/>
    <mergeCell ref="V115"/>
    <mergeCell ref="W115"/>
    <mergeCell ref="X115"/>
    <mergeCell ref="Y115"/>
    <mergeCell ref="Z115"/>
    <mergeCell ref="AA115"/>
    <mergeCell ref="AB115"/>
    <mergeCell ref="AC115"/>
    <mergeCell ref="AD115"/>
    <mergeCell ref="AE115"/>
    <mergeCell ref="AF115"/>
    <mergeCell ref="AG115"/>
    <mergeCell ref="AH115"/>
    <mergeCell ref="AI115"/>
    <mergeCell ref="AJ115"/>
    <mergeCell ref="AK115"/>
    <mergeCell ref="AL115"/>
    <mergeCell ref="AM115"/>
    <mergeCell ref="AN115"/>
    <mergeCell ref="AO115"/>
    <mergeCell ref="AP115"/>
    <mergeCell ref="AQ115"/>
    <mergeCell ref="AR115"/>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R116"/>
    <mergeCell ref="S116"/>
    <mergeCell ref="T116"/>
    <mergeCell ref="U116"/>
    <mergeCell ref="V116"/>
    <mergeCell ref="W116"/>
    <mergeCell ref="X116"/>
    <mergeCell ref="Y116"/>
    <mergeCell ref="Z116"/>
    <mergeCell ref="AA116"/>
    <mergeCell ref="AB116"/>
    <mergeCell ref="AC116"/>
    <mergeCell ref="AD116"/>
    <mergeCell ref="AE116"/>
    <mergeCell ref="AF116"/>
    <mergeCell ref="AG116"/>
    <mergeCell ref="AH116"/>
    <mergeCell ref="AI116"/>
    <mergeCell ref="AJ116"/>
    <mergeCell ref="AK116"/>
    <mergeCell ref="AL116"/>
    <mergeCell ref="AM116"/>
    <mergeCell ref="AN116"/>
    <mergeCell ref="AO116"/>
    <mergeCell ref="AP116"/>
    <mergeCell ref="AQ116"/>
    <mergeCell ref="AR116"/>
    <mergeCell ref="A117"/>
    <mergeCell ref="B117"/>
    <mergeCell ref="C117"/>
    <mergeCell ref="D117"/>
    <mergeCell ref="E117"/>
    <mergeCell ref="F117"/>
    <mergeCell ref="G117"/>
    <mergeCell ref="H117"/>
    <mergeCell ref="I117"/>
    <mergeCell ref="J117"/>
    <mergeCell ref="K117"/>
    <mergeCell ref="L117"/>
    <mergeCell ref="M117"/>
    <mergeCell ref="N117"/>
    <mergeCell ref="O117"/>
    <mergeCell ref="P117"/>
    <mergeCell ref="Q117"/>
    <mergeCell ref="R117"/>
    <mergeCell ref="S117"/>
    <mergeCell ref="T117"/>
    <mergeCell ref="U117"/>
    <mergeCell ref="V117"/>
    <mergeCell ref="W117"/>
    <mergeCell ref="X117"/>
    <mergeCell ref="Y117"/>
    <mergeCell ref="Z117"/>
    <mergeCell ref="AA117"/>
    <mergeCell ref="AB117"/>
    <mergeCell ref="AC117"/>
    <mergeCell ref="AD117"/>
    <mergeCell ref="AE117"/>
    <mergeCell ref="AF117"/>
    <mergeCell ref="AG117"/>
    <mergeCell ref="AH117"/>
    <mergeCell ref="AI117"/>
    <mergeCell ref="AJ117"/>
    <mergeCell ref="AK117"/>
    <mergeCell ref="AL117"/>
    <mergeCell ref="AM117"/>
    <mergeCell ref="AN117"/>
    <mergeCell ref="AO117"/>
    <mergeCell ref="AP117"/>
    <mergeCell ref="AQ117"/>
    <mergeCell ref="AR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U118"/>
    <mergeCell ref="V118"/>
    <mergeCell ref="W118"/>
    <mergeCell ref="X118"/>
    <mergeCell ref="Y118"/>
    <mergeCell ref="Z118"/>
    <mergeCell ref="AA118"/>
    <mergeCell ref="AB118"/>
    <mergeCell ref="AC118"/>
    <mergeCell ref="AD118"/>
    <mergeCell ref="AE118"/>
    <mergeCell ref="AF118"/>
    <mergeCell ref="AG118"/>
    <mergeCell ref="AH118"/>
    <mergeCell ref="AI118"/>
    <mergeCell ref="AJ118"/>
    <mergeCell ref="AK118"/>
    <mergeCell ref="AL118"/>
    <mergeCell ref="AM118"/>
    <mergeCell ref="AN118"/>
    <mergeCell ref="AO118"/>
    <mergeCell ref="AP118"/>
    <mergeCell ref="AQ118"/>
    <mergeCell ref="AR118"/>
    <mergeCell ref="A119"/>
    <mergeCell ref="B119"/>
    <mergeCell ref="C119"/>
    <mergeCell ref="D119"/>
    <mergeCell ref="E119"/>
    <mergeCell ref="F119"/>
    <mergeCell ref="G119"/>
    <mergeCell ref="H119"/>
    <mergeCell ref="I119"/>
    <mergeCell ref="J119"/>
    <mergeCell ref="K119"/>
    <mergeCell ref="L119"/>
    <mergeCell ref="M119"/>
    <mergeCell ref="N119"/>
    <mergeCell ref="O119"/>
    <mergeCell ref="P119"/>
    <mergeCell ref="Q119"/>
    <mergeCell ref="R119"/>
    <mergeCell ref="S119"/>
    <mergeCell ref="T119"/>
    <mergeCell ref="U119"/>
    <mergeCell ref="V119"/>
    <mergeCell ref="W119"/>
    <mergeCell ref="X119"/>
    <mergeCell ref="Y119"/>
    <mergeCell ref="Z119"/>
    <mergeCell ref="AA119"/>
    <mergeCell ref="AB119"/>
    <mergeCell ref="AC119"/>
    <mergeCell ref="AD119"/>
    <mergeCell ref="AE119"/>
    <mergeCell ref="AF119"/>
    <mergeCell ref="AG119"/>
    <mergeCell ref="AH119"/>
    <mergeCell ref="AI119"/>
    <mergeCell ref="AJ119"/>
    <mergeCell ref="AK119"/>
    <mergeCell ref="AL119"/>
    <mergeCell ref="AM119"/>
    <mergeCell ref="AN119"/>
    <mergeCell ref="AO119"/>
    <mergeCell ref="AP119"/>
    <mergeCell ref="AQ119"/>
    <mergeCell ref="AR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U120"/>
    <mergeCell ref="V120"/>
    <mergeCell ref="W120"/>
    <mergeCell ref="X120"/>
    <mergeCell ref="Y120"/>
    <mergeCell ref="Z120"/>
    <mergeCell ref="AA120"/>
    <mergeCell ref="AB120"/>
    <mergeCell ref="AC120"/>
    <mergeCell ref="AD120"/>
    <mergeCell ref="AE120"/>
    <mergeCell ref="AF120"/>
    <mergeCell ref="AG120"/>
    <mergeCell ref="AH120"/>
    <mergeCell ref="AI120"/>
    <mergeCell ref="AJ120"/>
    <mergeCell ref="AK120"/>
    <mergeCell ref="AL120"/>
    <mergeCell ref="AM120"/>
    <mergeCell ref="AN120"/>
    <mergeCell ref="AO120"/>
    <mergeCell ref="AP120"/>
    <mergeCell ref="AQ120"/>
    <mergeCell ref="AR120"/>
    <mergeCell ref="A121"/>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21"/>
    <mergeCell ref="S121"/>
    <mergeCell ref="T121"/>
    <mergeCell ref="U121"/>
    <mergeCell ref="V121"/>
    <mergeCell ref="W121"/>
    <mergeCell ref="X121"/>
    <mergeCell ref="Y121"/>
    <mergeCell ref="Z121"/>
    <mergeCell ref="AA121"/>
    <mergeCell ref="AB121"/>
    <mergeCell ref="AC121"/>
    <mergeCell ref="AD121"/>
    <mergeCell ref="AE121"/>
    <mergeCell ref="AF121"/>
    <mergeCell ref="AG121"/>
    <mergeCell ref="AH121"/>
    <mergeCell ref="AI121"/>
    <mergeCell ref="AJ121"/>
    <mergeCell ref="AK121"/>
    <mergeCell ref="AL121"/>
    <mergeCell ref="AM121"/>
    <mergeCell ref="AN121"/>
    <mergeCell ref="AO121"/>
    <mergeCell ref="AP121"/>
    <mergeCell ref="AQ121"/>
    <mergeCell ref="AR121"/>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R122"/>
    <mergeCell ref="S122"/>
    <mergeCell ref="T122"/>
    <mergeCell ref="U122"/>
    <mergeCell ref="V122"/>
    <mergeCell ref="W122"/>
    <mergeCell ref="X122"/>
    <mergeCell ref="Y122"/>
    <mergeCell ref="Z122"/>
    <mergeCell ref="AA122"/>
    <mergeCell ref="AB122"/>
    <mergeCell ref="AC122"/>
    <mergeCell ref="AD122"/>
    <mergeCell ref="AE122"/>
    <mergeCell ref="AF122"/>
    <mergeCell ref="AG122"/>
    <mergeCell ref="AH122"/>
    <mergeCell ref="AI122"/>
    <mergeCell ref="AJ122"/>
    <mergeCell ref="AK122"/>
    <mergeCell ref="AL122"/>
    <mergeCell ref="AM122"/>
    <mergeCell ref="AN122"/>
    <mergeCell ref="AO122"/>
    <mergeCell ref="AP122"/>
    <mergeCell ref="AQ122"/>
    <mergeCell ref="AR122"/>
    <mergeCell ref="A123"/>
    <mergeCell ref="B123"/>
    <mergeCell ref="C123"/>
    <mergeCell ref="D123"/>
    <mergeCell ref="E123"/>
    <mergeCell ref="F123"/>
    <mergeCell ref="G123"/>
    <mergeCell ref="H123"/>
    <mergeCell ref="I123"/>
    <mergeCell ref="J123"/>
    <mergeCell ref="K123"/>
    <mergeCell ref="L123"/>
    <mergeCell ref="M123"/>
    <mergeCell ref="N123"/>
    <mergeCell ref="O123"/>
    <mergeCell ref="P123"/>
    <mergeCell ref="Q123"/>
    <mergeCell ref="R123"/>
    <mergeCell ref="S123"/>
    <mergeCell ref="T123"/>
    <mergeCell ref="U123"/>
    <mergeCell ref="V123"/>
    <mergeCell ref="W123"/>
    <mergeCell ref="X123"/>
    <mergeCell ref="Y123"/>
    <mergeCell ref="Z123"/>
    <mergeCell ref="AA123"/>
    <mergeCell ref="AB123"/>
    <mergeCell ref="AC123"/>
    <mergeCell ref="AD123"/>
    <mergeCell ref="AE123"/>
    <mergeCell ref="AF123"/>
    <mergeCell ref="AG123"/>
    <mergeCell ref="AH123"/>
    <mergeCell ref="AI123"/>
    <mergeCell ref="AJ123"/>
    <mergeCell ref="AK123"/>
    <mergeCell ref="AL123"/>
    <mergeCell ref="AM123"/>
    <mergeCell ref="AN123"/>
    <mergeCell ref="AO123"/>
    <mergeCell ref="AP123"/>
    <mergeCell ref="AQ123"/>
    <mergeCell ref="AR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U124"/>
    <mergeCell ref="V124"/>
    <mergeCell ref="W124"/>
    <mergeCell ref="X124"/>
    <mergeCell ref="Y124"/>
    <mergeCell ref="Z124"/>
    <mergeCell ref="AA124"/>
    <mergeCell ref="AB124"/>
    <mergeCell ref="AC124"/>
    <mergeCell ref="AD124"/>
    <mergeCell ref="AE124"/>
    <mergeCell ref="AF124"/>
    <mergeCell ref="AG124"/>
    <mergeCell ref="AH124"/>
    <mergeCell ref="AI124"/>
    <mergeCell ref="AJ124"/>
    <mergeCell ref="AK124"/>
    <mergeCell ref="AL124"/>
    <mergeCell ref="AM124"/>
    <mergeCell ref="AN124"/>
    <mergeCell ref="AO124"/>
    <mergeCell ref="AP124"/>
    <mergeCell ref="AQ124"/>
    <mergeCell ref="AR124"/>
    <mergeCell ref="A125"/>
    <mergeCell ref="B125"/>
    <mergeCell ref="C125"/>
    <mergeCell ref="D125"/>
    <mergeCell ref="E125"/>
    <mergeCell ref="F125"/>
    <mergeCell ref="G125"/>
    <mergeCell ref="H125"/>
    <mergeCell ref="I125"/>
    <mergeCell ref="J125"/>
    <mergeCell ref="K125"/>
    <mergeCell ref="L125"/>
    <mergeCell ref="M125"/>
    <mergeCell ref="N125"/>
    <mergeCell ref="O125"/>
    <mergeCell ref="P125"/>
    <mergeCell ref="Q125"/>
    <mergeCell ref="R125"/>
    <mergeCell ref="S125"/>
    <mergeCell ref="T125"/>
    <mergeCell ref="U125"/>
    <mergeCell ref="V125"/>
    <mergeCell ref="W125"/>
    <mergeCell ref="X125"/>
    <mergeCell ref="Y125"/>
    <mergeCell ref="Z125"/>
    <mergeCell ref="AA125"/>
    <mergeCell ref="AB125"/>
    <mergeCell ref="AC125"/>
    <mergeCell ref="AD125"/>
    <mergeCell ref="AE125"/>
    <mergeCell ref="AF125"/>
    <mergeCell ref="AG125"/>
    <mergeCell ref="AH125"/>
    <mergeCell ref="AI125"/>
    <mergeCell ref="AJ125"/>
    <mergeCell ref="AK125"/>
    <mergeCell ref="AL125"/>
    <mergeCell ref="AM125"/>
    <mergeCell ref="AN125"/>
    <mergeCell ref="AO125"/>
    <mergeCell ref="AP125"/>
    <mergeCell ref="AQ125"/>
    <mergeCell ref="AR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U126"/>
    <mergeCell ref="V126"/>
    <mergeCell ref="W126"/>
    <mergeCell ref="X126"/>
    <mergeCell ref="Y126"/>
    <mergeCell ref="Z126"/>
    <mergeCell ref="AA126"/>
    <mergeCell ref="AB126"/>
    <mergeCell ref="AC126"/>
    <mergeCell ref="AD126"/>
    <mergeCell ref="AE126"/>
    <mergeCell ref="AF126"/>
    <mergeCell ref="AG126"/>
    <mergeCell ref="AH126"/>
    <mergeCell ref="AI126"/>
    <mergeCell ref="AJ126"/>
    <mergeCell ref="AK126"/>
    <mergeCell ref="AL126"/>
    <mergeCell ref="AM126"/>
    <mergeCell ref="AN126"/>
    <mergeCell ref="AO126"/>
    <mergeCell ref="AP126"/>
    <mergeCell ref="AQ126"/>
    <mergeCell ref="AR126"/>
    <mergeCell ref="A127"/>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7"/>
    <mergeCell ref="S127"/>
    <mergeCell ref="T127"/>
    <mergeCell ref="U127"/>
    <mergeCell ref="V127"/>
    <mergeCell ref="W127"/>
    <mergeCell ref="X127"/>
    <mergeCell ref="Y127"/>
    <mergeCell ref="Z127"/>
    <mergeCell ref="AA127"/>
    <mergeCell ref="AB127"/>
    <mergeCell ref="AC127"/>
    <mergeCell ref="AD127"/>
    <mergeCell ref="AE127"/>
    <mergeCell ref="AF127"/>
    <mergeCell ref="AG127"/>
    <mergeCell ref="AH127"/>
    <mergeCell ref="AI127"/>
    <mergeCell ref="AJ127"/>
    <mergeCell ref="AK127"/>
    <mergeCell ref="AL127"/>
    <mergeCell ref="AM127"/>
    <mergeCell ref="AN127"/>
    <mergeCell ref="AO127"/>
    <mergeCell ref="AP127"/>
    <mergeCell ref="AQ127"/>
    <mergeCell ref="AR127"/>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R128"/>
    <mergeCell ref="S128"/>
    <mergeCell ref="T128"/>
    <mergeCell ref="U128"/>
    <mergeCell ref="V128"/>
    <mergeCell ref="W128"/>
    <mergeCell ref="X128"/>
    <mergeCell ref="Y128"/>
    <mergeCell ref="Z128"/>
    <mergeCell ref="AA128"/>
    <mergeCell ref="AB128"/>
    <mergeCell ref="AC128"/>
    <mergeCell ref="AD128"/>
    <mergeCell ref="AE128"/>
    <mergeCell ref="AF128"/>
    <mergeCell ref="AG128"/>
    <mergeCell ref="AH128"/>
    <mergeCell ref="AI128"/>
    <mergeCell ref="AJ128"/>
    <mergeCell ref="AK128"/>
    <mergeCell ref="AL128"/>
    <mergeCell ref="AM128"/>
    <mergeCell ref="AN128"/>
    <mergeCell ref="AO128"/>
    <mergeCell ref="AP128"/>
    <mergeCell ref="AQ128"/>
    <mergeCell ref="AR128"/>
    <mergeCell ref="A129"/>
    <mergeCell ref="B129"/>
    <mergeCell ref="C129"/>
    <mergeCell ref="D129"/>
    <mergeCell ref="E129"/>
    <mergeCell ref="F129"/>
    <mergeCell ref="G129"/>
    <mergeCell ref="H129"/>
    <mergeCell ref="I129"/>
    <mergeCell ref="J129"/>
    <mergeCell ref="K129"/>
    <mergeCell ref="L129"/>
    <mergeCell ref="M129"/>
    <mergeCell ref="N129"/>
    <mergeCell ref="O129"/>
    <mergeCell ref="P129"/>
    <mergeCell ref="Q129"/>
    <mergeCell ref="R129"/>
    <mergeCell ref="S129"/>
    <mergeCell ref="T129"/>
    <mergeCell ref="U129"/>
    <mergeCell ref="V129"/>
    <mergeCell ref="W129"/>
    <mergeCell ref="X129"/>
    <mergeCell ref="Y129"/>
    <mergeCell ref="Z129"/>
    <mergeCell ref="AA129"/>
    <mergeCell ref="AB129"/>
    <mergeCell ref="AC129"/>
    <mergeCell ref="AD129"/>
    <mergeCell ref="AE129"/>
    <mergeCell ref="AF129"/>
    <mergeCell ref="AG129"/>
    <mergeCell ref="AH129"/>
    <mergeCell ref="AI129"/>
    <mergeCell ref="AJ129"/>
    <mergeCell ref="AK129"/>
    <mergeCell ref="AL129"/>
    <mergeCell ref="AM129"/>
    <mergeCell ref="AN129"/>
    <mergeCell ref="AO129"/>
    <mergeCell ref="AP129"/>
    <mergeCell ref="AQ129"/>
    <mergeCell ref="AR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U130"/>
    <mergeCell ref="V130"/>
    <mergeCell ref="W130"/>
    <mergeCell ref="X130"/>
    <mergeCell ref="Y130"/>
    <mergeCell ref="Z130"/>
    <mergeCell ref="AA130"/>
    <mergeCell ref="AB130"/>
    <mergeCell ref="AC130"/>
    <mergeCell ref="AD130"/>
    <mergeCell ref="AE130"/>
    <mergeCell ref="AF130"/>
    <mergeCell ref="AG130"/>
    <mergeCell ref="AH130"/>
    <mergeCell ref="AI130"/>
    <mergeCell ref="AJ130"/>
    <mergeCell ref="AK130"/>
    <mergeCell ref="AL130"/>
    <mergeCell ref="AM130"/>
    <mergeCell ref="AN130"/>
    <mergeCell ref="AO130"/>
    <mergeCell ref="AP130"/>
    <mergeCell ref="AQ130"/>
    <mergeCell ref="AR130"/>
    <mergeCell ref="A131"/>
    <mergeCell ref="B131"/>
    <mergeCell ref="C131"/>
    <mergeCell ref="D131"/>
    <mergeCell ref="E131"/>
    <mergeCell ref="F131"/>
    <mergeCell ref="G131"/>
    <mergeCell ref="H131"/>
    <mergeCell ref="I131"/>
    <mergeCell ref="J131"/>
    <mergeCell ref="K131"/>
    <mergeCell ref="L131"/>
    <mergeCell ref="M131"/>
    <mergeCell ref="N131"/>
    <mergeCell ref="O131"/>
    <mergeCell ref="P131"/>
    <mergeCell ref="Q131"/>
    <mergeCell ref="R131"/>
    <mergeCell ref="S131"/>
    <mergeCell ref="T131"/>
    <mergeCell ref="U131"/>
    <mergeCell ref="V131"/>
    <mergeCell ref="W131"/>
    <mergeCell ref="X131"/>
    <mergeCell ref="Y131"/>
    <mergeCell ref="Z131"/>
    <mergeCell ref="AA131"/>
    <mergeCell ref="AB131"/>
    <mergeCell ref="AC131"/>
    <mergeCell ref="AD131"/>
    <mergeCell ref="AE131"/>
    <mergeCell ref="AF131"/>
    <mergeCell ref="AG131"/>
    <mergeCell ref="AH131"/>
    <mergeCell ref="AI131"/>
    <mergeCell ref="AJ131"/>
    <mergeCell ref="AK131"/>
    <mergeCell ref="AL131"/>
    <mergeCell ref="AM131"/>
    <mergeCell ref="AN131"/>
    <mergeCell ref="AO131"/>
    <mergeCell ref="AP131"/>
    <mergeCell ref="AQ131"/>
    <mergeCell ref="AR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U132"/>
    <mergeCell ref="V132"/>
    <mergeCell ref="W132"/>
    <mergeCell ref="X132"/>
    <mergeCell ref="Y132"/>
    <mergeCell ref="Z132"/>
    <mergeCell ref="AA132"/>
    <mergeCell ref="AB132"/>
    <mergeCell ref="AC132"/>
    <mergeCell ref="AD132"/>
    <mergeCell ref="AE132"/>
    <mergeCell ref="AF132"/>
    <mergeCell ref="AG132"/>
    <mergeCell ref="AH132"/>
    <mergeCell ref="AI132"/>
    <mergeCell ref="AJ132"/>
    <mergeCell ref="AK132"/>
    <mergeCell ref="AL132"/>
    <mergeCell ref="AM132"/>
    <mergeCell ref="AN132"/>
    <mergeCell ref="AO132"/>
    <mergeCell ref="AP132"/>
    <mergeCell ref="AQ132"/>
    <mergeCell ref="AR132"/>
    <mergeCell ref="A133"/>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3"/>
    <mergeCell ref="S133"/>
    <mergeCell ref="T133"/>
    <mergeCell ref="U133"/>
    <mergeCell ref="V133"/>
    <mergeCell ref="W133"/>
    <mergeCell ref="X133"/>
    <mergeCell ref="Y133"/>
    <mergeCell ref="Z133"/>
    <mergeCell ref="AA133"/>
    <mergeCell ref="AB133"/>
    <mergeCell ref="AC133"/>
    <mergeCell ref="AD133"/>
    <mergeCell ref="AE133"/>
    <mergeCell ref="AF133"/>
    <mergeCell ref="AG133"/>
    <mergeCell ref="AH133"/>
    <mergeCell ref="AI133"/>
    <mergeCell ref="AJ133"/>
    <mergeCell ref="AK133"/>
    <mergeCell ref="AL133"/>
    <mergeCell ref="AM133"/>
    <mergeCell ref="AN133"/>
    <mergeCell ref="AO133"/>
    <mergeCell ref="AP133"/>
    <mergeCell ref="AQ133"/>
    <mergeCell ref="AR133"/>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R134"/>
    <mergeCell ref="S134"/>
    <mergeCell ref="T134"/>
    <mergeCell ref="U134"/>
    <mergeCell ref="V134"/>
    <mergeCell ref="W134"/>
    <mergeCell ref="X134"/>
    <mergeCell ref="Y134"/>
    <mergeCell ref="Z134"/>
    <mergeCell ref="AA134"/>
    <mergeCell ref="AB134"/>
    <mergeCell ref="AC134"/>
    <mergeCell ref="AD134"/>
    <mergeCell ref="AE134"/>
    <mergeCell ref="AF134"/>
    <mergeCell ref="AG134"/>
    <mergeCell ref="AH134"/>
    <mergeCell ref="AI134"/>
    <mergeCell ref="AJ134"/>
    <mergeCell ref="AK134"/>
    <mergeCell ref="AL134"/>
    <mergeCell ref="AM134"/>
    <mergeCell ref="AN134"/>
    <mergeCell ref="AO134"/>
    <mergeCell ref="AP134"/>
    <mergeCell ref="AQ134"/>
    <mergeCell ref="AR134"/>
    <mergeCell ref="A135"/>
    <mergeCell ref="B135"/>
    <mergeCell ref="C135"/>
    <mergeCell ref="D135"/>
    <mergeCell ref="E135"/>
    <mergeCell ref="F135"/>
    <mergeCell ref="G135"/>
    <mergeCell ref="H135"/>
    <mergeCell ref="I135"/>
    <mergeCell ref="J135"/>
    <mergeCell ref="K135"/>
    <mergeCell ref="L135"/>
    <mergeCell ref="M135"/>
    <mergeCell ref="N135"/>
    <mergeCell ref="O135"/>
    <mergeCell ref="P135"/>
    <mergeCell ref="Q135"/>
    <mergeCell ref="R135"/>
    <mergeCell ref="S135"/>
    <mergeCell ref="T135"/>
    <mergeCell ref="U135"/>
    <mergeCell ref="V135"/>
    <mergeCell ref="W135"/>
    <mergeCell ref="X135"/>
    <mergeCell ref="Y135"/>
    <mergeCell ref="Z135"/>
    <mergeCell ref="AA135"/>
    <mergeCell ref="AB135"/>
    <mergeCell ref="AC135"/>
    <mergeCell ref="AD135"/>
    <mergeCell ref="AE135"/>
    <mergeCell ref="AF135"/>
    <mergeCell ref="AG135"/>
    <mergeCell ref="AH135"/>
    <mergeCell ref="AI135"/>
    <mergeCell ref="AJ135"/>
    <mergeCell ref="AK135"/>
    <mergeCell ref="AL135"/>
    <mergeCell ref="AM135"/>
    <mergeCell ref="AN135"/>
    <mergeCell ref="AO135"/>
    <mergeCell ref="AP135"/>
    <mergeCell ref="AQ135"/>
    <mergeCell ref="AR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U136"/>
    <mergeCell ref="V136"/>
    <mergeCell ref="W136"/>
    <mergeCell ref="X136"/>
    <mergeCell ref="Y136"/>
    <mergeCell ref="Z136"/>
    <mergeCell ref="AA136"/>
    <mergeCell ref="AB136"/>
    <mergeCell ref="AC136"/>
    <mergeCell ref="AD136"/>
    <mergeCell ref="AE136"/>
    <mergeCell ref="AF136"/>
    <mergeCell ref="AG136"/>
    <mergeCell ref="AH136"/>
    <mergeCell ref="AI136"/>
    <mergeCell ref="AJ136"/>
    <mergeCell ref="AK136"/>
    <mergeCell ref="AL136"/>
    <mergeCell ref="AM136"/>
    <mergeCell ref="AN136"/>
    <mergeCell ref="AO136"/>
    <mergeCell ref="AP136"/>
    <mergeCell ref="AQ136"/>
    <mergeCell ref="AR136"/>
    <mergeCell ref="A137"/>
    <mergeCell ref="B137"/>
    <mergeCell ref="C137"/>
    <mergeCell ref="D137"/>
    <mergeCell ref="E137"/>
    <mergeCell ref="F137"/>
    <mergeCell ref="G137"/>
    <mergeCell ref="H137"/>
    <mergeCell ref="I137"/>
    <mergeCell ref="J137"/>
    <mergeCell ref="K137"/>
    <mergeCell ref="L137"/>
    <mergeCell ref="M137"/>
    <mergeCell ref="N137"/>
    <mergeCell ref="O137"/>
    <mergeCell ref="P137"/>
    <mergeCell ref="Q137"/>
    <mergeCell ref="R137"/>
    <mergeCell ref="S137"/>
    <mergeCell ref="T137"/>
    <mergeCell ref="U137"/>
    <mergeCell ref="V137"/>
    <mergeCell ref="W137"/>
    <mergeCell ref="X137"/>
    <mergeCell ref="Y137"/>
    <mergeCell ref="Z137"/>
    <mergeCell ref="AA137"/>
    <mergeCell ref="AB137"/>
    <mergeCell ref="AC137"/>
    <mergeCell ref="AD137"/>
    <mergeCell ref="AE137"/>
    <mergeCell ref="AF137"/>
    <mergeCell ref="AG137"/>
    <mergeCell ref="AH137"/>
    <mergeCell ref="AI137"/>
    <mergeCell ref="AJ137"/>
    <mergeCell ref="AK137"/>
    <mergeCell ref="AL137"/>
    <mergeCell ref="AM137"/>
    <mergeCell ref="AN137"/>
    <mergeCell ref="AO137"/>
    <mergeCell ref="AP137"/>
    <mergeCell ref="AQ137"/>
    <mergeCell ref="AR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U138"/>
    <mergeCell ref="V138"/>
    <mergeCell ref="W138"/>
    <mergeCell ref="X138"/>
    <mergeCell ref="Y138"/>
    <mergeCell ref="Z138"/>
    <mergeCell ref="AA138"/>
    <mergeCell ref="AB138"/>
    <mergeCell ref="AC138"/>
    <mergeCell ref="AD138"/>
    <mergeCell ref="AE138"/>
    <mergeCell ref="AF138"/>
    <mergeCell ref="AG138"/>
    <mergeCell ref="AH138"/>
    <mergeCell ref="AI138"/>
    <mergeCell ref="AJ138"/>
    <mergeCell ref="AK138"/>
    <mergeCell ref="AL138"/>
    <mergeCell ref="AM138"/>
    <mergeCell ref="AN138"/>
    <mergeCell ref="AO138"/>
    <mergeCell ref="AP138"/>
    <mergeCell ref="AQ138"/>
    <mergeCell ref="AR138"/>
    <mergeCell ref="A139"/>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9"/>
    <mergeCell ref="S139"/>
    <mergeCell ref="T139"/>
    <mergeCell ref="U139"/>
    <mergeCell ref="V139"/>
    <mergeCell ref="W139"/>
    <mergeCell ref="X139"/>
    <mergeCell ref="Y139"/>
    <mergeCell ref="Z139"/>
    <mergeCell ref="AA139"/>
    <mergeCell ref="AB139"/>
    <mergeCell ref="AC139"/>
    <mergeCell ref="AD139"/>
    <mergeCell ref="AE139"/>
    <mergeCell ref="AF139"/>
    <mergeCell ref="AG139"/>
    <mergeCell ref="AH139"/>
    <mergeCell ref="AI139"/>
    <mergeCell ref="AJ139"/>
    <mergeCell ref="AK139"/>
    <mergeCell ref="AL139"/>
    <mergeCell ref="AM139"/>
    <mergeCell ref="AN139"/>
    <mergeCell ref="AO139"/>
    <mergeCell ref="AP139"/>
    <mergeCell ref="AQ139"/>
    <mergeCell ref="AR139"/>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R140"/>
    <mergeCell ref="S140"/>
    <mergeCell ref="T140"/>
    <mergeCell ref="U140"/>
    <mergeCell ref="V140"/>
    <mergeCell ref="W140"/>
    <mergeCell ref="X140"/>
    <mergeCell ref="Y140"/>
    <mergeCell ref="Z140"/>
    <mergeCell ref="AA140"/>
    <mergeCell ref="AB140"/>
    <mergeCell ref="AC140"/>
    <mergeCell ref="AD140"/>
    <mergeCell ref="AE140"/>
    <mergeCell ref="AF140"/>
    <mergeCell ref="AG140"/>
    <mergeCell ref="AH140"/>
    <mergeCell ref="AI140"/>
    <mergeCell ref="AJ140"/>
    <mergeCell ref="AK140"/>
    <mergeCell ref="AL140"/>
    <mergeCell ref="AM140"/>
    <mergeCell ref="AN140"/>
    <mergeCell ref="AO140"/>
    <mergeCell ref="AP140"/>
    <mergeCell ref="AQ140"/>
    <mergeCell ref="AR140"/>
    <mergeCell ref="A141"/>
    <mergeCell ref="B141"/>
    <mergeCell ref="C141"/>
    <mergeCell ref="D141"/>
    <mergeCell ref="E141"/>
    <mergeCell ref="F141"/>
    <mergeCell ref="G141"/>
    <mergeCell ref="H141"/>
    <mergeCell ref="I141"/>
    <mergeCell ref="J141"/>
    <mergeCell ref="K141"/>
    <mergeCell ref="L141"/>
    <mergeCell ref="M141"/>
    <mergeCell ref="N141"/>
    <mergeCell ref="O141"/>
    <mergeCell ref="P141"/>
    <mergeCell ref="Q141"/>
    <mergeCell ref="R141"/>
    <mergeCell ref="S141"/>
    <mergeCell ref="T141"/>
    <mergeCell ref="U141"/>
    <mergeCell ref="V141"/>
    <mergeCell ref="W141"/>
    <mergeCell ref="X141"/>
    <mergeCell ref="Y141"/>
    <mergeCell ref="Z141"/>
    <mergeCell ref="AA141"/>
    <mergeCell ref="AB141"/>
    <mergeCell ref="AC141"/>
    <mergeCell ref="AD141"/>
    <mergeCell ref="AE141"/>
    <mergeCell ref="AF141"/>
    <mergeCell ref="AG141"/>
    <mergeCell ref="AH141"/>
    <mergeCell ref="AI141"/>
    <mergeCell ref="AJ141"/>
    <mergeCell ref="AK141"/>
    <mergeCell ref="AL141"/>
    <mergeCell ref="AM141"/>
    <mergeCell ref="AN141"/>
    <mergeCell ref="AO141"/>
    <mergeCell ref="AP141"/>
    <mergeCell ref="AQ141"/>
    <mergeCell ref="AR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U142"/>
    <mergeCell ref="V142"/>
    <mergeCell ref="W142"/>
    <mergeCell ref="X142"/>
    <mergeCell ref="Y142"/>
    <mergeCell ref="Z142"/>
    <mergeCell ref="AA142"/>
    <mergeCell ref="AB142"/>
    <mergeCell ref="AC142"/>
    <mergeCell ref="AD142"/>
    <mergeCell ref="AE142"/>
    <mergeCell ref="AF142"/>
    <mergeCell ref="AG142"/>
    <mergeCell ref="AH142"/>
    <mergeCell ref="AI142"/>
    <mergeCell ref="AJ142"/>
    <mergeCell ref="AK142"/>
    <mergeCell ref="AL142"/>
    <mergeCell ref="AM142"/>
    <mergeCell ref="AN142"/>
    <mergeCell ref="AO142"/>
    <mergeCell ref="AP142"/>
    <mergeCell ref="AQ142"/>
    <mergeCell ref="AR142"/>
    <mergeCell ref="A143"/>
    <mergeCell ref="B143"/>
    <mergeCell ref="C143"/>
    <mergeCell ref="D143"/>
    <mergeCell ref="E143"/>
    <mergeCell ref="F143"/>
    <mergeCell ref="G143"/>
    <mergeCell ref="H143"/>
    <mergeCell ref="I143"/>
    <mergeCell ref="J143"/>
    <mergeCell ref="K143"/>
    <mergeCell ref="L143"/>
    <mergeCell ref="M143"/>
    <mergeCell ref="N143"/>
    <mergeCell ref="O143"/>
    <mergeCell ref="P143"/>
    <mergeCell ref="Q143"/>
    <mergeCell ref="R143"/>
    <mergeCell ref="S143"/>
    <mergeCell ref="T143"/>
    <mergeCell ref="U143"/>
    <mergeCell ref="V143"/>
    <mergeCell ref="W143"/>
    <mergeCell ref="X143"/>
    <mergeCell ref="Y143"/>
    <mergeCell ref="Z143"/>
    <mergeCell ref="AA143"/>
    <mergeCell ref="AB143"/>
    <mergeCell ref="AC143"/>
    <mergeCell ref="AD143"/>
    <mergeCell ref="AE143"/>
    <mergeCell ref="AF143"/>
    <mergeCell ref="AG143"/>
    <mergeCell ref="AH143"/>
    <mergeCell ref="AI143"/>
    <mergeCell ref="AJ143"/>
    <mergeCell ref="AK143"/>
    <mergeCell ref="AL143"/>
    <mergeCell ref="AM143"/>
    <mergeCell ref="AN143"/>
    <mergeCell ref="AO143"/>
    <mergeCell ref="AP143"/>
    <mergeCell ref="AQ143"/>
    <mergeCell ref="AR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U144"/>
    <mergeCell ref="V144"/>
    <mergeCell ref="W144"/>
    <mergeCell ref="X144"/>
    <mergeCell ref="Y144"/>
    <mergeCell ref="Z144"/>
    <mergeCell ref="AA144"/>
    <mergeCell ref="AB144"/>
    <mergeCell ref="AC144"/>
    <mergeCell ref="AD144"/>
    <mergeCell ref="AE144"/>
    <mergeCell ref="AF144"/>
    <mergeCell ref="AG144"/>
    <mergeCell ref="AH144"/>
    <mergeCell ref="AI144"/>
    <mergeCell ref="AJ144"/>
    <mergeCell ref="AK144"/>
    <mergeCell ref="AL144"/>
    <mergeCell ref="AM144"/>
    <mergeCell ref="AN144"/>
    <mergeCell ref="AO144"/>
    <mergeCell ref="AP144"/>
    <mergeCell ref="AQ144"/>
    <mergeCell ref="AR144"/>
    <mergeCell ref="A145"/>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5"/>
    <mergeCell ref="S145"/>
    <mergeCell ref="T145"/>
    <mergeCell ref="U145"/>
    <mergeCell ref="V145"/>
    <mergeCell ref="W145"/>
    <mergeCell ref="X145"/>
    <mergeCell ref="Y145"/>
    <mergeCell ref="Z145"/>
    <mergeCell ref="AA145"/>
    <mergeCell ref="AB145"/>
    <mergeCell ref="AC145"/>
    <mergeCell ref="AD145"/>
    <mergeCell ref="AE145"/>
    <mergeCell ref="AF145"/>
    <mergeCell ref="AG145"/>
    <mergeCell ref="AH145"/>
    <mergeCell ref="AI145"/>
    <mergeCell ref="AJ145"/>
    <mergeCell ref="AK145"/>
    <mergeCell ref="AL145"/>
    <mergeCell ref="AM145"/>
    <mergeCell ref="AN145"/>
    <mergeCell ref="AO145"/>
    <mergeCell ref="AP145"/>
    <mergeCell ref="AQ145"/>
    <mergeCell ref="AR145"/>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R146"/>
    <mergeCell ref="S146"/>
    <mergeCell ref="T146"/>
    <mergeCell ref="U146"/>
    <mergeCell ref="V146"/>
    <mergeCell ref="W146"/>
    <mergeCell ref="X146"/>
    <mergeCell ref="Y146"/>
    <mergeCell ref="Z146"/>
    <mergeCell ref="AA146"/>
    <mergeCell ref="AB146"/>
    <mergeCell ref="AC146"/>
    <mergeCell ref="AD146"/>
    <mergeCell ref="AE146"/>
    <mergeCell ref="AF146"/>
    <mergeCell ref="AG146"/>
    <mergeCell ref="AH146"/>
    <mergeCell ref="AI146"/>
    <mergeCell ref="AJ146"/>
    <mergeCell ref="AK146"/>
    <mergeCell ref="AL146"/>
    <mergeCell ref="AM146"/>
    <mergeCell ref="AN146"/>
    <mergeCell ref="AO146"/>
    <mergeCell ref="AP146"/>
    <mergeCell ref="AQ146"/>
    <mergeCell ref="AR146"/>
    <mergeCell ref="A147"/>
    <mergeCell ref="B147"/>
    <mergeCell ref="C147"/>
    <mergeCell ref="D147"/>
    <mergeCell ref="E147"/>
    <mergeCell ref="F147"/>
    <mergeCell ref="G147"/>
    <mergeCell ref="H147"/>
    <mergeCell ref="I147"/>
    <mergeCell ref="J147"/>
    <mergeCell ref="K147"/>
    <mergeCell ref="L147"/>
    <mergeCell ref="M147"/>
    <mergeCell ref="N147"/>
    <mergeCell ref="O147"/>
    <mergeCell ref="P147"/>
    <mergeCell ref="Q147"/>
    <mergeCell ref="R147"/>
    <mergeCell ref="S147"/>
    <mergeCell ref="T147"/>
    <mergeCell ref="U147"/>
    <mergeCell ref="V147"/>
    <mergeCell ref="W147"/>
    <mergeCell ref="X147"/>
    <mergeCell ref="Y147"/>
    <mergeCell ref="Z147"/>
    <mergeCell ref="AA147"/>
    <mergeCell ref="AB147"/>
    <mergeCell ref="AC147"/>
    <mergeCell ref="AD147"/>
    <mergeCell ref="AE147"/>
    <mergeCell ref="AF147"/>
    <mergeCell ref="AG147"/>
    <mergeCell ref="AH147"/>
    <mergeCell ref="AI147"/>
    <mergeCell ref="AJ147"/>
    <mergeCell ref="AK147"/>
    <mergeCell ref="AL147"/>
    <mergeCell ref="AM147"/>
    <mergeCell ref="AN147"/>
    <mergeCell ref="AO147"/>
    <mergeCell ref="AP147"/>
    <mergeCell ref="AQ147"/>
    <mergeCell ref="AR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U148"/>
    <mergeCell ref="V148"/>
    <mergeCell ref="W148"/>
    <mergeCell ref="X148"/>
    <mergeCell ref="Y148"/>
    <mergeCell ref="Z148"/>
    <mergeCell ref="AA148"/>
    <mergeCell ref="AB148"/>
    <mergeCell ref="AC148"/>
    <mergeCell ref="AD148"/>
    <mergeCell ref="AE148"/>
    <mergeCell ref="AF148"/>
    <mergeCell ref="AG148"/>
    <mergeCell ref="AH148"/>
    <mergeCell ref="AI148"/>
    <mergeCell ref="AJ148"/>
    <mergeCell ref="AK148"/>
    <mergeCell ref="AL148"/>
    <mergeCell ref="AM148"/>
    <mergeCell ref="AN148"/>
    <mergeCell ref="AO148"/>
    <mergeCell ref="AP148"/>
    <mergeCell ref="AQ148"/>
    <mergeCell ref="AR148"/>
    <mergeCell ref="AD149"/>
    <mergeCell ref="AE149"/>
    <mergeCell ref="AF149"/>
    <mergeCell ref="AG149"/>
    <mergeCell ref="AH149"/>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R150"/>
    <mergeCell ref="S150"/>
    <mergeCell ref="T150"/>
    <mergeCell ref="U150"/>
    <mergeCell ref="V150"/>
    <mergeCell ref="R149"/>
    <mergeCell ref="S149"/>
    <mergeCell ref="T149"/>
    <mergeCell ref="U149"/>
    <mergeCell ref="V149"/>
    <mergeCell ref="W149"/>
    <mergeCell ref="X149"/>
    <mergeCell ref="Y149"/>
    <mergeCell ref="Z149"/>
    <mergeCell ref="AA149"/>
    <mergeCell ref="AB149"/>
    <mergeCell ref="AC149"/>
    <mergeCell ref="A150"/>
    <mergeCell ref="B150"/>
    <mergeCell ref="C150"/>
    <mergeCell ref="D150"/>
    <mergeCell ref="E150"/>
    <mergeCell ref="F150"/>
    <mergeCell ref="G150"/>
    <mergeCell ref="H150"/>
    <mergeCell ref="I150"/>
    <mergeCell ref="J150"/>
    <mergeCell ref="K150"/>
    <mergeCell ref="L150"/>
    <mergeCell ref="M150"/>
    <mergeCell ref="N150"/>
    <mergeCell ref="O150"/>
    <mergeCell ref="P150"/>
    <mergeCell ref="Q150"/>
    <mergeCell ref="AG150"/>
    <mergeCell ref="AH150"/>
    <mergeCell ref="AI150"/>
    <mergeCell ref="AJ150"/>
    <mergeCell ref="AK150"/>
    <mergeCell ref="AL150"/>
    <mergeCell ref="AM150"/>
    <mergeCell ref="AI149"/>
    <mergeCell ref="AJ149"/>
    <mergeCell ref="AK149"/>
    <mergeCell ref="AL149"/>
    <mergeCell ref="AM149"/>
    <mergeCell ref="AN149"/>
    <mergeCell ref="AO149"/>
    <mergeCell ref="AP149"/>
    <mergeCell ref="AQ149"/>
    <mergeCell ref="AR149"/>
    <mergeCell ref="AN151"/>
    <mergeCell ref="AO151"/>
    <mergeCell ref="AP151"/>
    <mergeCell ref="AQ151"/>
    <mergeCell ref="AR151"/>
    <mergeCell ref="AN150"/>
    <mergeCell ref="AO150"/>
    <mergeCell ref="AP150"/>
    <mergeCell ref="AQ150"/>
    <mergeCell ref="AR150"/>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R151"/>
    <mergeCell ref="S151"/>
    <mergeCell ref="T151"/>
    <mergeCell ref="U151"/>
    <mergeCell ref="V151"/>
    <mergeCell ref="R52"/>
    <mergeCell ref="S52"/>
    <mergeCell ref="T52"/>
    <mergeCell ref="U52"/>
    <mergeCell ref="V52"/>
    <mergeCell ref="AB151"/>
    <mergeCell ref="AC151"/>
    <mergeCell ref="AD151"/>
    <mergeCell ref="AE151"/>
    <mergeCell ref="AF151"/>
    <mergeCell ref="AG151"/>
    <mergeCell ref="AH151"/>
    <mergeCell ref="AI151"/>
    <mergeCell ref="AJ151"/>
    <mergeCell ref="AK151"/>
    <mergeCell ref="AL151"/>
    <mergeCell ref="AM151"/>
    <mergeCell ref="W151"/>
    <mergeCell ref="X151"/>
    <mergeCell ref="Y151"/>
    <mergeCell ref="Z151"/>
    <mergeCell ref="AA151"/>
    <mergeCell ref="W150"/>
    <mergeCell ref="X150"/>
    <mergeCell ref="Y150"/>
    <mergeCell ref="Z150"/>
    <mergeCell ref="AA150"/>
    <mergeCell ref="AB150"/>
    <mergeCell ref="AC150"/>
    <mergeCell ref="AD150"/>
    <mergeCell ref="AE150"/>
    <mergeCell ref="AF150"/>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W52"/>
    <mergeCell ref="X52"/>
    <mergeCell ref="Y52"/>
    <mergeCell ref="Z52"/>
    <mergeCell ref="AA52"/>
    <mergeCell ref="AB52"/>
    <mergeCell ref="AC52"/>
    <mergeCell ref="AD52"/>
    <mergeCell ref="AE52"/>
    <mergeCell ref="AF52"/>
    <mergeCell ref="AG52"/>
    <mergeCell ref="AH52"/>
    <mergeCell ref="AI52"/>
    <mergeCell ref="AJ52"/>
    <mergeCell ref="AK52"/>
    <mergeCell ref="AL52"/>
    <mergeCell ref="AM52"/>
    <mergeCell ref="AN52"/>
    <mergeCell ref="AO52"/>
    <mergeCell ref="AP52"/>
    <mergeCell ref="AQ52"/>
    <mergeCell ref="AR52"/>
    <mergeCell ref="A53"/>
    <mergeCell ref="B53"/>
    <mergeCell ref="C53"/>
    <mergeCell ref="D53"/>
    <mergeCell ref="E53"/>
    <mergeCell ref="F53"/>
    <mergeCell ref="G53"/>
    <mergeCell ref="H53"/>
    <mergeCell ref="I53"/>
    <mergeCell ref="J53"/>
    <mergeCell ref="K53"/>
    <mergeCell ref="L53"/>
    <mergeCell ref="M53"/>
    <mergeCell ref="N53"/>
    <mergeCell ref="O53"/>
    <mergeCell ref="P53"/>
    <mergeCell ref="Q53"/>
    <mergeCell ref="R53"/>
    <mergeCell ref="S53"/>
    <mergeCell ref="T53"/>
    <mergeCell ref="U53"/>
    <mergeCell ref="V53"/>
    <mergeCell ref="W53"/>
    <mergeCell ref="X53"/>
    <mergeCell ref="Y53"/>
    <mergeCell ref="Z53"/>
    <mergeCell ref="AA53"/>
    <mergeCell ref="AB53"/>
    <mergeCell ref="AC53"/>
    <mergeCell ref="AD53"/>
    <mergeCell ref="AE53"/>
    <mergeCell ref="AF53"/>
    <mergeCell ref="AG53"/>
    <mergeCell ref="AH53"/>
    <mergeCell ref="AI53"/>
    <mergeCell ref="AJ53"/>
    <mergeCell ref="AK53"/>
    <mergeCell ref="AL53"/>
    <mergeCell ref="AM53"/>
    <mergeCell ref="AN53"/>
    <mergeCell ref="AO53"/>
    <mergeCell ref="AP53"/>
    <mergeCell ref="AQ53"/>
    <mergeCell ref="AR53"/>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R54"/>
    <mergeCell ref="S54"/>
    <mergeCell ref="T54"/>
    <mergeCell ref="U54"/>
    <mergeCell ref="V54"/>
    <mergeCell ref="W54"/>
    <mergeCell ref="X54"/>
    <mergeCell ref="Y54"/>
    <mergeCell ref="Z54"/>
    <mergeCell ref="AA54"/>
    <mergeCell ref="AB54"/>
    <mergeCell ref="AC54"/>
    <mergeCell ref="AD54"/>
    <mergeCell ref="AE54"/>
    <mergeCell ref="AF54"/>
    <mergeCell ref="AG54"/>
    <mergeCell ref="AH54"/>
    <mergeCell ref="AI54"/>
    <mergeCell ref="AJ54"/>
    <mergeCell ref="AK54"/>
    <mergeCell ref="AL54"/>
    <mergeCell ref="AM54"/>
    <mergeCell ref="AN54"/>
    <mergeCell ref="AO54"/>
    <mergeCell ref="AP54"/>
    <mergeCell ref="AQ54"/>
    <mergeCell ref="AR54"/>
    <mergeCell ref="A55"/>
    <mergeCell ref="B55"/>
    <mergeCell ref="C55"/>
    <mergeCell ref="D55"/>
    <mergeCell ref="E55"/>
    <mergeCell ref="F55"/>
    <mergeCell ref="G55"/>
    <mergeCell ref="H55"/>
    <mergeCell ref="I55"/>
    <mergeCell ref="J55"/>
    <mergeCell ref="K55"/>
    <mergeCell ref="L55"/>
    <mergeCell ref="M55"/>
    <mergeCell ref="N55"/>
    <mergeCell ref="O55"/>
    <mergeCell ref="P55"/>
    <mergeCell ref="Q55"/>
    <mergeCell ref="R55"/>
    <mergeCell ref="S55"/>
    <mergeCell ref="T55"/>
    <mergeCell ref="U55"/>
    <mergeCell ref="V55"/>
    <mergeCell ref="W55"/>
    <mergeCell ref="X55"/>
    <mergeCell ref="Y55"/>
    <mergeCell ref="Z55"/>
    <mergeCell ref="AA55"/>
    <mergeCell ref="AB55"/>
    <mergeCell ref="AC55"/>
    <mergeCell ref="AD55"/>
    <mergeCell ref="AE55"/>
    <mergeCell ref="AF55"/>
    <mergeCell ref="AG55"/>
    <mergeCell ref="AH55"/>
    <mergeCell ref="AI55"/>
    <mergeCell ref="AJ55"/>
    <mergeCell ref="AK55"/>
    <mergeCell ref="AL55"/>
    <mergeCell ref="AM55"/>
    <mergeCell ref="AN55"/>
    <mergeCell ref="AO55"/>
    <mergeCell ref="AP55"/>
    <mergeCell ref="AQ55"/>
    <mergeCell ref="AR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U56"/>
    <mergeCell ref="V56"/>
    <mergeCell ref="W56"/>
    <mergeCell ref="X56"/>
    <mergeCell ref="Y56"/>
    <mergeCell ref="Z56"/>
    <mergeCell ref="AA56"/>
    <mergeCell ref="AB56"/>
    <mergeCell ref="AC56"/>
    <mergeCell ref="AD56"/>
    <mergeCell ref="AE56"/>
    <mergeCell ref="AF56"/>
    <mergeCell ref="AG56"/>
    <mergeCell ref="AH56"/>
    <mergeCell ref="AI56"/>
    <mergeCell ref="AJ56"/>
    <mergeCell ref="AK56"/>
    <mergeCell ref="AL56"/>
    <mergeCell ref="AM56"/>
    <mergeCell ref="AN56"/>
    <mergeCell ref="AO56"/>
    <mergeCell ref="AP56"/>
    <mergeCell ref="AQ56"/>
    <mergeCell ref="AR56"/>
    <mergeCell ref="A57"/>
    <mergeCell ref="B57"/>
    <mergeCell ref="C57"/>
    <mergeCell ref="D57"/>
    <mergeCell ref="E57"/>
    <mergeCell ref="F57"/>
    <mergeCell ref="G57"/>
    <mergeCell ref="H57"/>
    <mergeCell ref="I57"/>
    <mergeCell ref="J57"/>
    <mergeCell ref="K57"/>
    <mergeCell ref="L57"/>
    <mergeCell ref="M57"/>
    <mergeCell ref="N57"/>
    <mergeCell ref="O57"/>
    <mergeCell ref="P57"/>
    <mergeCell ref="Q57"/>
    <mergeCell ref="R57"/>
    <mergeCell ref="S57"/>
    <mergeCell ref="T57"/>
    <mergeCell ref="U57"/>
    <mergeCell ref="V57"/>
    <mergeCell ref="W57"/>
    <mergeCell ref="X57"/>
    <mergeCell ref="Y57"/>
    <mergeCell ref="Z57"/>
    <mergeCell ref="AA57"/>
    <mergeCell ref="AB57"/>
    <mergeCell ref="AC57"/>
    <mergeCell ref="AD57"/>
    <mergeCell ref="AE57"/>
    <mergeCell ref="AF57"/>
    <mergeCell ref="AG57"/>
    <mergeCell ref="AH57"/>
    <mergeCell ref="AI57"/>
    <mergeCell ref="AJ57"/>
    <mergeCell ref="AK57"/>
    <mergeCell ref="AL57"/>
    <mergeCell ref="AM57"/>
    <mergeCell ref="AN57"/>
    <mergeCell ref="AO57"/>
    <mergeCell ref="AP57"/>
    <mergeCell ref="AQ57"/>
    <mergeCell ref="AR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U58"/>
    <mergeCell ref="V58"/>
    <mergeCell ref="W58"/>
    <mergeCell ref="X58"/>
    <mergeCell ref="Y58"/>
    <mergeCell ref="Z58"/>
    <mergeCell ref="AA58"/>
    <mergeCell ref="AB58"/>
    <mergeCell ref="AC58"/>
    <mergeCell ref="AD58"/>
    <mergeCell ref="AE58"/>
    <mergeCell ref="AF58"/>
    <mergeCell ref="AG58"/>
    <mergeCell ref="AH58"/>
    <mergeCell ref="AI58"/>
    <mergeCell ref="AJ58"/>
    <mergeCell ref="AK58"/>
    <mergeCell ref="AL58"/>
    <mergeCell ref="AM58"/>
    <mergeCell ref="AN58"/>
    <mergeCell ref="AO58"/>
    <mergeCell ref="AP58"/>
    <mergeCell ref="AQ58"/>
    <mergeCell ref="AR58"/>
    <mergeCell ref="A59"/>
    <mergeCell ref="B59"/>
    <mergeCell ref="C59"/>
    <mergeCell ref="D59"/>
    <mergeCell ref="E59"/>
    <mergeCell ref="F59"/>
    <mergeCell ref="G59"/>
    <mergeCell ref="H59"/>
    <mergeCell ref="I59"/>
    <mergeCell ref="J59"/>
    <mergeCell ref="K59"/>
    <mergeCell ref="L59"/>
    <mergeCell ref="M59"/>
    <mergeCell ref="N59"/>
    <mergeCell ref="O59"/>
    <mergeCell ref="P59"/>
    <mergeCell ref="Q59"/>
    <mergeCell ref="R59"/>
    <mergeCell ref="S59"/>
    <mergeCell ref="T59"/>
    <mergeCell ref="U59"/>
    <mergeCell ref="V59"/>
    <mergeCell ref="W59"/>
    <mergeCell ref="X59"/>
    <mergeCell ref="Y59"/>
    <mergeCell ref="Z59"/>
    <mergeCell ref="AA59"/>
    <mergeCell ref="AB59"/>
    <mergeCell ref="AC59"/>
    <mergeCell ref="AD59"/>
    <mergeCell ref="AE59"/>
    <mergeCell ref="AF59"/>
    <mergeCell ref="AG59"/>
    <mergeCell ref="AH59"/>
    <mergeCell ref="AI59"/>
    <mergeCell ref="AJ59"/>
    <mergeCell ref="AK59"/>
    <mergeCell ref="AL59"/>
    <mergeCell ref="AM59"/>
    <mergeCell ref="AN59"/>
    <mergeCell ref="AO59"/>
    <mergeCell ref="AP59"/>
    <mergeCell ref="AQ59"/>
    <mergeCell ref="AR59"/>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R60"/>
    <mergeCell ref="S60"/>
    <mergeCell ref="T60"/>
    <mergeCell ref="U60"/>
    <mergeCell ref="V60"/>
    <mergeCell ref="W60"/>
    <mergeCell ref="X60"/>
    <mergeCell ref="Y60"/>
    <mergeCell ref="Z60"/>
    <mergeCell ref="AA60"/>
    <mergeCell ref="AB60"/>
    <mergeCell ref="AC60"/>
    <mergeCell ref="AD60"/>
    <mergeCell ref="AE60"/>
    <mergeCell ref="AF60"/>
    <mergeCell ref="AG60"/>
    <mergeCell ref="AH60"/>
    <mergeCell ref="AI60"/>
    <mergeCell ref="AJ60"/>
    <mergeCell ref="AK60"/>
    <mergeCell ref="AL60"/>
    <mergeCell ref="AM60"/>
    <mergeCell ref="AN60"/>
    <mergeCell ref="AO60"/>
    <mergeCell ref="AP60"/>
    <mergeCell ref="AQ60"/>
    <mergeCell ref="AR60"/>
    <mergeCell ref="A61"/>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61"/>
    <mergeCell ref="S61"/>
    <mergeCell ref="T61"/>
    <mergeCell ref="U61"/>
    <mergeCell ref="V61"/>
    <mergeCell ref="W61"/>
    <mergeCell ref="X61"/>
    <mergeCell ref="Y61"/>
    <mergeCell ref="Z61"/>
    <mergeCell ref="AA61"/>
    <mergeCell ref="AB61"/>
    <mergeCell ref="AC61"/>
    <mergeCell ref="AD61"/>
    <mergeCell ref="AE61"/>
    <mergeCell ref="AF61"/>
    <mergeCell ref="AG61"/>
    <mergeCell ref="AH61"/>
    <mergeCell ref="AI61"/>
    <mergeCell ref="AJ61"/>
    <mergeCell ref="AK61"/>
    <mergeCell ref="AL61"/>
    <mergeCell ref="AM61"/>
    <mergeCell ref="AN61"/>
    <mergeCell ref="AO61"/>
    <mergeCell ref="AP61"/>
    <mergeCell ref="AQ61"/>
    <mergeCell ref="AR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U62"/>
    <mergeCell ref="V62"/>
    <mergeCell ref="W62"/>
    <mergeCell ref="X62"/>
    <mergeCell ref="Y62"/>
    <mergeCell ref="Z62"/>
    <mergeCell ref="AA62"/>
    <mergeCell ref="AB62"/>
    <mergeCell ref="AC62"/>
    <mergeCell ref="AD62"/>
    <mergeCell ref="AE62"/>
    <mergeCell ref="AF62"/>
    <mergeCell ref="AG62"/>
    <mergeCell ref="AH62"/>
    <mergeCell ref="AI62"/>
    <mergeCell ref="AJ62"/>
    <mergeCell ref="AK62"/>
    <mergeCell ref="AL62"/>
    <mergeCell ref="AM62"/>
    <mergeCell ref="AN62"/>
    <mergeCell ref="AO62"/>
    <mergeCell ref="AP62"/>
    <mergeCell ref="AQ62"/>
    <mergeCell ref="AR62"/>
    <mergeCell ref="A63"/>
    <mergeCell ref="B63"/>
    <mergeCell ref="C63"/>
    <mergeCell ref="D63"/>
    <mergeCell ref="E63"/>
    <mergeCell ref="F63"/>
    <mergeCell ref="G63"/>
    <mergeCell ref="H63"/>
    <mergeCell ref="I63"/>
    <mergeCell ref="J63"/>
    <mergeCell ref="K63"/>
    <mergeCell ref="L63"/>
    <mergeCell ref="M63"/>
    <mergeCell ref="N63"/>
    <mergeCell ref="O63"/>
    <mergeCell ref="P63"/>
    <mergeCell ref="Q63"/>
    <mergeCell ref="R63"/>
    <mergeCell ref="S63"/>
    <mergeCell ref="T63"/>
    <mergeCell ref="U63"/>
    <mergeCell ref="V63"/>
    <mergeCell ref="W63"/>
    <mergeCell ref="X63"/>
    <mergeCell ref="Y63"/>
    <mergeCell ref="Z63"/>
    <mergeCell ref="AA63"/>
    <mergeCell ref="AB63"/>
    <mergeCell ref="AC63"/>
    <mergeCell ref="AD63"/>
    <mergeCell ref="AE63"/>
    <mergeCell ref="AF63"/>
    <mergeCell ref="AG63"/>
    <mergeCell ref="AH63"/>
    <mergeCell ref="AI63"/>
    <mergeCell ref="AJ63"/>
    <mergeCell ref="AK63"/>
    <mergeCell ref="AL63"/>
    <mergeCell ref="AM63"/>
    <mergeCell ref="AN63"/>
    <mergeCell ref="AO63"/>
    <mergeCell ref="AP63"/>
    <mergeCell ref="AQ63"/>
    <mergeCell ref="AR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U64"/>
    <mergeCell ref="V64"/>
    <mergeCell ref="W64"/>
    <mergeCell ref="X64"/>
    <mergeCell ref="Y64"/>
    <mergeCell ref="Z64"/>
    <mergeCell ref="AA64"/>
    <mergeCell ref="AB64"/>
    <mergeCell ref="AC64"/>
    <mergeCell ref="AD64"/>
    <mergeCell ref="AE64"/>
    <mergeCell ref="AF64"/>
    <mergeCell ref="AG64"/>
    <mergeCell ref="AH64"/>
    <mergeCell ref="AI64"/>
    <mergeCell ref="AJ64"/>
    <mergeCell ref="AK64"/>
    <mergeCell ref="AL64"/>
    <mergeCell ref="AM64"/>
    <mergeCell ref="AN64"/>
    <mergeCell ref="AO64"/>
    <mergeCell ref="AP64"/>
    <mergeCell ref="AQ64"/>
    <mergeCell ref="AR64"/>
    <mergeCell ref="A65"/>
    <mergeCell ref="B65"/>
    <mergeCell ref="C65"/>
    <mergeCell ref="D65"/>
    <mergeCell ref="E65"/>
    <mergeCell ref="F65"/>
    <mergeCell ref="G65"/>
    <mergeCell ref="H65"/>
    <mergeCell ref="I65"/>
    <mergeCell ref="J65"/>
    <mergeCell ref="K65"/>
    <mergeCell ref="L65"/>
    <mergeCell ref="M65"/>
    <mergeCell ref="N65"/>
    <mergeCell ref="O65"/>
    <mergeCell ref="P65"/>
    <mergeCell ref="Q65"/>
    <mergeCell ref="R65"/>
    <mergeCell ref="S65"/>
    <mergeCell ref="T65"/>
    <mergeCell ref="U65"/>
    <mergeCell ref="V65"/>
    <mergeCell ref="W65"/>
    <mergeCell ref="X65"/>
    <mergeCell ref="Y65"/>
    <mergeCell ref="Z65"/>
    <mergeCell ref="AA65"/>
    <mergeCell ref="AB65"/>
    <mergeCell ref="AC65"/>
    <mergeCell ref="AD65"/>
    <mergeCell ref="AE65"/>
    <mergeCell ref="AF65"/>
    <mergeCell ref="AG65"/>
    <mergeCell ref="AH65"/>
    <mergeCell ref="AI65"/>
    <mergeCell ref="AJ65"/>
    <mergeCell ref="AK65"/>
    <mergeCell ref="AL65"/>
    <mergeCell ref="AM65"/>
    <mergeCell ref="AN65"/>
    <mergeCell ref="AO65"/>
    <mergeCell ref="AP65"/>
    <mergeCell ref="AQ65"/>
    <mergeCell ref="AR65"/>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R66"/>
    <mergeCell ref="S66"/>
    <mergeCell ref="T66"/>
    <mergeCell ref="U66"/>
    <mergeCell ref="V66"/>
    <mergeCell ref="W66"/>
    <mergeCell ref="X66"/>
    <mergeCell ref="Y66"/>
    <mergeCell ref="Z66"/>
    <mergeCell ref="AA66"/>
    <mergeCell ref="AB66"/>
    <mergeCell ref="AC66"/>
    <mergeCell ref="AD66"/>
    <mergeCell ref="AE66"/>
    <mergeCell ref="AF66"/>
    <mergeCell ref="AG66"/>
    <mergeCell ref="AH66"/>
    <mergeCell ref="AI66"/>
    <mergeCell ref="AJ66"/>
    <mergeCell ref="AK66"/>
    <mergeCell ref="AL66"/>
    <mergeCell ref="AM66"/>
    <mergeCell ref="AN66"/>
    <mergeCell ref="AO66"/>
    <mergeCell ref="AP66"/>
    <mergeCell ref="AQ66"/>
    <mergeCell ref="AR66"/>
    <mergeCell ref="A67"/>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7"/>
    <mergeCell ref="S67"/>
    <mergeCell ref="T67"/>
    <mergeCell ref="U67"/>
    <mergeCell ref="V67"/>
    <mergeCell ref="W67"/>
    <mergeCell ref="X67"/>
    <mergeCell ref="Y67"/>
    <mergeCell ref="Z67"/>
    <mergeCell ref="AA67"/>
    <mergeCell ref="AB67"/>
    <mergeCell ref="AC67"/>
    <mergeCell ref="AD67"/>
    <mergeCell ref="AE67"/>
    <mergeCell ref="AF67"/>
    <mergeCell ref="AG67"/>
    <mergeCell ref="AH67"/>
    <mergeCell ref="AI67"/>
    <mergeCell ref="AJ67"/>
    <mergeCell ref="AK67"/>
    <mergeCell ref="AL67"/>
    <mergeCell ref="AM67"/>
    <mergeCell ref="AN67"/>
    <mergeCell ref="AO67"/>
    <mergeCell ref="AP67"/>
    <mergeCell ref="AQ67"/>
    <mergeCell ref="AR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U68"/>
    <mergeCell ref="V68"/>
    <mergeCell ref="W68"/>
    <mergeCell ref="X68"/>
    <mergeCell ref="Y68"/>
    <mergeCell ref="Z68"/>
    <mergeCell ref="AA68"/>
    <mergeCell ref="AB68"/>
    <mergeCell ref="AC68"/>
    <mergeCell ref="AD68"/>
    <mergeCell ref="AE68"/>
    <mergeCell ref="AF68"/>
    <mergeCell ref="AG68"/>
    <mergeCell ref="AH68"/>
    <mergeCell ref="AI68"/>
    <mergeCell ref="AJ68"/>
    <mergeCell ref="AK68"/>
    <mergeCell ref="AL68"/>
    <mergeCell ref="AM68"/>
    <mergeCell ref="AN68"/>
    <mergeCell ref="AO68"/>
    <mergeCell ref="AP68"/>
    <mergeCell ref="AQ68"/>
    <mergeCell ref="AR68"/>
    <mergeCell ref="A69"/>
    <mergeCell ref="B69"/>
    <mergeCell ref="C69"/>
    <mergeCell ref="D69"/>
    <mergeCell ref="E69"/>
    <mergeCell ref="F69"/>
    <mergeCell ref="G69"/>
    <mergeCell ref="H69"/>
    <mergeCell ref="I69"/>
    <mergeCell ref="J69"/>
    <mergeCell ref="K69"/>
    <mergeCell ref="L69"/>
    <mergeCell ref="M69"/>
    <mergeCell ref="N69"/>
    <mergeCell ref="O69"/>
    <mergeCell ref="P69"/>
    <mergeCell ref="Q69"/>
    <mergeCell ref="R69"/>
    <mergeCell ref="S69"/>
    <mergeCell ref="T69"/>
    <mergeCell ref="U69"/>
    <mergeCell ref="V69"/>
    <mergeCell ref="W69"/>
    <mergeCell ref="X69"/>
    <mergeCell ref="Y69"/>
    <mergeCell ref="Z69"/>
    <mergeCell ref="AA69"/>
    <mergeCell ref="AB69"/>
    <mergeCell ref="AC69"/>
    <mergeCell ref="AD69"/>
    <mergeCell ref="AE69"/>
    <mergeCell ref="AF69"/>
    <mergeCell ref="AG69"/>
    <mergeCell ref="AH69"/>
    <mergeCell ref="AI69"/>
    <mergeCell ref="AJ69"/>
    <mergeCell ref="AK69"/>
    <mergeCell ref="AL69"/>
    <mergeCell ref="AM69"/>
    <mergeCell ref="AN69"/>
    <mergeCell ref="AO69"/>
    <mergeCell ref="AP69"/>
    <mergeCell ref="AQ69"/>
    <mergeCell ref="AR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U70"/>
    <mergeCell ref="V70"/>
    <mergeCell ref="W70"/>
    <mergeCell ref="X70"/>
    <mergeCell ref="Y70"/>
    <mergeCell ref="Z70"/>
    <mergeCell ref="AA70"/>
    <mergeCell ref="AB70"/>
    <mergeCell ref="AC70"/>
    <mergeCell ref="AD70"/>
    <mergeCell ref="AE70"/>
    <mergeCell ref="AF70"/>
    <mergeCell ref="AG70"/>
    <mergeCell ref="AH70"/>
    <mergeCell ref="AI70"/>
    <mergeCell ref="AJ70"/>
    <mergeCell ref="AK70"/>
    <mergeCell ref="AL70"/>
    <mergeCell ref="AM70"/>
    <mergeCell ref="AN70"/>
    <mergeCell ref="AO70"/>
    <mergeCell ref="AP70"/>
    <mergeCell ref="AQ70"/>
    <mergeCell ref="AR70"/>
    <mergeCell ref="A71"/>
    <mergeCell ref="B71"/>
    <mergeCell ref="C71"/>
    <mergeCell ref="D71"/>
    <mergeCell ref="E71"/>
    <mergeCell ref="F71"/>
    <mergeCell ref="G71"/>
    <mergeCell ref="H71"/>
    <mergeCell ref="I71"/>
    <mergeCell ref="J71"/>
    <mergeCell ref="K71"/>
    <mergeCell ref="L71"/>
    <mergeCell ref="M71"/>
    <mergeCell ref="N71"/>
    <mergeCell ref="O71"/>
    <mergeCell ref="P71"/>
    <mergeCell ref="Q71"/>
    <mergeCell ref="R71"/>
    <mergeCell ref="S71"/>
    <mergeCell ref="T71"/>
    <mergeCell ref="U71"/>
    <mergeCell ref="V71"/>
    <mergeCell ref="W71"/>
    <mergeCell ref="X71"/>
    <mergeCell ref="Y71"/>
    <mergeCell ref="Z71"/>
    <mergeCell ref="AA71"/>
    <mergeCell ref="AB71"/>
    <mergeCell ref="AC71"/>
    <mergeCell ref="AD71"/>
    <mergeCell ref="AE71"/>
    <mergeCell ref="AF71"/>
    <mergeCell ref="AG71"/>
    <mergeCell ref="AH71"/>
    <mergeCell ref="AI71"/>
    <mergeCell ref="AJ71"/>
    <mergeCell ref="AK71"/>
    <mergeCell ref="AL71"/>
    <mergeCell ref="AM71"/>
    <mergeCell ref="AN71"/>
    <mergeCell ref="AO71"/>
    <mergeCell ref="AP71"/>
    <mergeCell ref="AQ71"/>
    <mergeCell ref="AR71"/>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R72"/>
    <mergeCell ref="S72"/>
    <mergeCell ref="T72"/>
    <mergeCell ref="U72"/>
    <mergeCell ref="V72"/>
    <mergeCell ref="W72"/>
    <mergeCell ref="X72"/>
    <mergeCell ref="Y72"/>
    <mergeCell ref="Z72"/>
    <mergeCell ref="AA72"/>
    <mergeCell ref="AB72"/>
    <mergeCell ref="AC72"/>
    <mergeCell ref="AD72"/>
    <mergeCell ref="AE72"/>
    <mergeCell ref="AF72"/>
    <mergeCell ref="AG72"/>
    <mergeCell ref="AH72"/>
    <mergeCell ref="AI72"/>
    <mergeCell ref="AJ72"/>
    <mergeCell ref="AK72"/>
    <mergeCell ref="AL72"/>
    <mergeCell ref="AM72"/>
    <mergeCell ref="AN72"/>
    <mergeCell ref="AO72"/>
    <mergeCell ref="AP72"/>
    <mergeCell ref="AQ72"/>
    <mergeCell ref="AR72"/>
    <mergeCell ref="A73"/>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3"/>
    <mergeCell ref="S73"/>
    <mergeCell ref="T73"/>
    <mergeCell ref="U73"/>
    <mergeCell ref="V73"/>
    <mergeCell ref="W73"/>
    <mergeCell ref="X73"/>
    <mergeCell ref="Y73"/>
    <mergeCell ref="Z73"/>
    <mergeCell ref="AA73"/>
    <mergeCell ref="AB73"/>
    <mergeCell ref="AC73"/>
    <mergeCell ref="AD73"/>
    <mergeCell ref="AE73"/>
    <mergeCell ref="AF73"/>
    <mergeCell ref="AG73"/>
    <mergeCell ref="AH73"/>
    <mergeCell ref="AI73"/>
    <mergeCell ref="AJ73"/>
    <mergeCell ref="AK73"/>
    <mergeCell ref="AL73"/>
    <mergeCell ref="AM73"/>
    <mergeCell ref="AN73"/>
    <mergeCell ref="AO73"/>
    <mergeCell ref="AP73"/>
    <mergeCell ref="AQ73"/>
    <mergeCell ref="AR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U74"/>
    <mergeCell ref="V74"/>
    <mergeCell ref="W74"/>
    <mergeCell ref="X74"/>
    <mergeCell ref="Y74"/>
    <mergeCell ref="Z74"/>
    <mergeCell ref="AA74"/>
    <mergeCell ref="AB74"/>
    <mergeCell ref="AC74"/>
    <mergeCell ref="AD74"/>
    <mergeCell ref="AE74"/>
    <mergeCell ref="AF74"/>
    <mergeCell ref="AG74"/>
    <mergeCell ref="AH74"/>
    <mergeCell ref="AI74"/>
    <mergeCell ref="AJ74"/>
    <mergeCell ref="AK74"/>
    <mergeCell ref="AL74"/>
    <mergeCell ref="AM74"/>
    <mergeCell ref="AN74"/>
    <mergeCell ref="AO74"/>
    <mergeCell ref="AP74"/>
    <mergeCell ref="AQ74"/>
    <mergeCell ref="AR74"/>
    <mergeCell ref="A75"/>
    <mergeCell ref="B75"/>
    <mergeCell ref="C75"/>
    <mergeCell ref="D75"/>
    <mergeCell ref="E75"/>
    <mergeCell ref="F75"/>
    <mergeCell ref="G75"/>
    <mergeCell ref="H75"/>
    <mergeCell ref="I75"/>
    <mergeCell ref="J75"/>
    <mergeCell ref="K75"/>
    <mergeCell ref="L75"/>
    <mergeCell ref="M75"/>
    <mergeCell ref="N75"/>
    <mergeCell ref="O75"/>
    <mergeCell ref="P75"/>
    <mergeCell ref="Q75"/>
    <mergeCell ref="R75"/>
    <mergeCell ref="S75"/>
    <mergeCell ref="T75"/>
    <mergeCell ref="U75"/>
    <mergeCell ref="V75"/>
    <mergeCell ref="W75"/>
    <mergeCell ref="X75"/>
    <mergeCell ref="Y75"/>
    <mergeCell ref="Z75"/>
    <mergeCell ref="AA75"/>
    <mergeCell ref="AB75"/>
    <mergeCell ref="AC75"/>
    <mergeCell ref="AD75"/>
    <mergeCell ref="AE75"/>
    <mergeCell ref="AF75"/>
    <mergeCell ref="AG75"/>
    <mergeCell ref="AH75"/>
    <mergeCell ref="AI75"/>
    <mergeCell ref="AJ75"/>
    <mergeCell ref="AK75"/>
    <mergeCell ref="AL75"/>
    <mergeCell ref="AM75"/>
    <mergeCell ref="AN75"/>
    <mergeCell ref="AO75"/>
    <mergeCell ref="AP75"/>
    <mergeCell ref="AQ75"/>
    <mergeCell ref="AR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U76"/>
    <mergeCell ref="V76"/>
    <mergeCell ref="W76"/>
    <mergeCell ref="X76"/>
    <mergeCell ref="Y76"/>
    <mergeCell ref="Z76"/>
    <mergeCell ref="AA76"/>
    <mergeCell ref="AB76"/>
    <mergeCell ref="AC76"/>
    <mergeCell ref="AD76"/>
    <mergeCell ref="AE76"/>
    <mergeCell ref="AF76"/>
    <mergeCell ref="AG76"/>
    <mergeCell ref="AH76"/>
    <mergeCell ref="AI76"/>
    <mergeCell ref="AJ76"/>
    <mergeCell ref="AK76"/>
    <mergeCell ref="AL76"/>
    <mergeCell ref="AM76"/>
    <mergeCell ref="AN76"/>
    <mergeCell ref="AO76"/>
    <mergeCell ref="AP76"/>
    <mergeCell ref="AQ76"/>
    <mergeCell ref="AR76"/>
    <mergeCell ref="A77"/>
    <mergeCell ref="B77"/>
    <mergeCell ref="C77"/>
    <mergeCell ref="D77"/>
    <mergeCell ref="E77"/>
    <mergeCell ref="F77"/>
    <mergeCell ref="G77"/>
    <mergeCell ref="H77"/>
    <mergeCell ref="I77"/>
    <mergeCell ref="J77"/>
    <mergeCell ref="K77"/>
    <mergeCell ref="L77"/>
    <mergeCell ref="M77"/>
    <mergeCell ref="N77"/>
    <mergeCell ref="O77"/>
    <mergeCell ref="P77"/>
    <mergeCell ref="Q77"/>
    <mergeCell ref="R77"/>
    <mergeCell ref="S77"/>
    <mergeCell ref="T77"/>
    <mergeCell ref="U77"/>
    <mergeCell ref="V77"/>
    <mergeCell ref="W77"/>
    <mergeCell ref="X77"/>
    <mergeCell ref="Y77"/>
    <mergeCell ref="Z77"/>
    <mergeCell ref="AA77"/>
    <mergeCell ref="AB77"/>
    <mergeCell ref="AC77"/>
    <mergeCell ref="AD77"/>
    <mergeCell ref="AE77"/>
    <mergeCell ref="AF77"/>
    <mergeCell ref="AG77"/>
    <mergeCell ref="AH77"/>
    <mergeCell ref="AI77"/>
    <mergeCell ref="AJ77"/>
    <mergeCell ref="AK77"/>
    <mergeCell ref="AL77"/>
    <mergeCell ref="AM77"/>
    <mergeCell ref="AN77"/>
    <mergeCell ref="AO77"/>
    <mergeCell ref="AP77"/>
    <mergeCell ref="AQ77"/>
    <mergeCell ref="AR77"/>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R78"/>
    <mergeCell ref="S78"/>
    <mergeCell ref="T78"/>
    <mergeCell ref="U78"/>
    <mergeCell ref="V78"/>
    <mergeCell ref="W78"/>
    <mergeCell ref="X78"/>
    <mergeCell ref="Y78"/>
    <mergeCell ref="Z78"/>
    <mergeCell ref="AA78"/>
    <mergeCell ref="AB78"/>
    <mergeCell ref="AC78"/>
    <mergeCell ref="AD78"/>
    <mergeCell ref="AE78"/>
    <mergeCell ref="AF78"/>
    <mergeCell ref="AG78"/>
    <mergeCell ref="AH78"/>
    <mergeCell ref="AI78"/>
    <mergeCell ref="AJ78"/>
    <mergeCell ref="AK78"/>
    <mergeCell ref="AL78"/>
    <mergeCell ref="AM78"/>
    <mergeCell ref="AN78"/>
    <mergeCell ref="AO78"/>
    <mergeCell ref="AP78"/>
    <mergeCell ref="AQ78"/>
    <mergeCell ref="AR78"/>
    <mergeCell ref="A79"/>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9"/>
    <mergeCell ref="S79"/>
    <mergeCell ref="T79"/>
    <mergeCell ref="U79"/>
    <mergeCell ref="V79"/>
    <mergeCell ref="W79"/>
    <mergeCell ref="X79"/>
    <mergeCell ref="Y79"/>
    <mergeCell ref="Z79"/>
    <mergeCell ref="AA79"/>
    <mergeCell ref="AB79"/>
    <mergeCell ref="AC79"/>
    <mergeCell ref="AD79"/>
    <mergeCell ref="AE79"/>
    <mergeCell ref="AF79"/>
    <mergeCell ref="AG79"/>
    <mergeCell ref="AH79"/>
    <mergeCell ref="AI79"/>
    <mergeCell ref="AJ79"/>
    <mergeCell ref="AK79"/>
    <mergeCell ref="AL79"/>
    <mergeCell ref="AM79"/>
    <mergeCell ref="AN79"/>
    <mergeCell ref="AO79"/>
    <mergeCell ref="AP79"/>
    <mergeCell ref="AQ79"/>
    <mergeCell ref="AR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U80"/>
    <mergeCell ref="V80"/>
    <mergeCell ref="W80"/>
    <mergeCell ref="X80"/>
    <mergeCell ref="Y80"/>
    <mergeCell ref="Z80"/>
    <mergeCell ref="AA80"/>
    <mergeCell ref="AB80"/>
    <mergeCell ref="AC80"/>
    <mergeCell ref="AD80"/>
    <mergeCell ref="AE80"/>
    <mergeCell ref="AF80"/>
    <mergeCell ref="AG80"/>
    <mergeCell ref="AH80"/>
    <mergeCell ref="AI80"/>
    <mergeCell ref="AJ80"/>
    <mergeCell ref="AK80"/>
    <mergeCell ref="AL80"/>
    <mergeCell ref="AM80"/>
    <mergeCell ref="AN80"/>
    <mergeCell ref="AO80"/>
    <mergeCell ref="AP80"/>
    <mergeCell ref="AQ80"/>
    <mergeCell ref="AR80"/>
    <mergeCell ref="A81"/>
    <mergeCell ref="B81"/>
    <mergeCell ref="C81"/>
    <mergeCell ref="D81"/>
    <mergeCell ref="E81"/>
    <mergeCell ref="F81"/>
    <mergeCell ref="G81"/>
    <mergeCell ref="H81"/>
    <mergeCell ref="I81"/>
    <mergeCell ref="J81"/>
    <mergeCell ref="K81"/>
    <mergeCell ref="L81"/>
    <mergeCell ref="M81"/>
    <mergeCell ref="N81"/>
    <mergeCell ref="O81"/>
    <mergeCell ref="P81"/>
    <mergeCell ref="Q81"/>
    <mergeCell ref="R81"/>
    <mergeCell ref="S81"/>
    <mergeCell ref="T81"/>
    <mergeCell ref="U81"/>
    <mergeCell ref="V81"/>
    <mergeCell ref="W81"/>
    <mergeCell ref="X81"/>
    <mergeCell ref="Y81"/>
    <mergeCell ref="Z81"/>
    <mergeCell ref="AA81"/>
    <mergeCell ref="AB81"/>
    <mergeCell ref="AC81"/>
    <mergeCell ref="AD81"/>
    <mergeCell ref="AE81"/>
    <mergeCell ref="AF81"/>
    <mergeCell ref="AG81"/>
    <mergeCell ref="AH81"/>
    <mergeCell ref="AI81"/>
    <mergeCell ref="AJ81"/>
    <mergeCell ref="AK81"/>
    <mergeCell ref="AL81"/>
    <mergeCell ref="AM81"/>
    <mergeCell ref="AN81"/>
    <mergeCell ref="AO81"/>
    <mergeCell ref="AP81"/>
    <mergeCell ref="AQ81"/>
    <mergeCell ref="AR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U82"/>
    <mergeCell ref="V82"/>
    <mergeCell ref="W82"/>
    <mergeCell ref="X82"/>
    <mergeCell ref="Y82"/>
    <mergeCell ref="Z82"/>
    <mergeCell ref="AA82"/>
    <mergeCell ref="AB82"/>
    <mergeCell ref="AC82"/>
    <mergeCell ref="AD82"/>
    <mergeCell ref="AE82"/>
    <mergeCell ref="AF82"/>
    <mergeCell ref="AG82"/>
    <mergeCell ref="AH82"/>
    <mergeCell ref="AI82"/>
    <mergeCell ref="AJ82"/>
    <mergeCell ref="AK82"/>
    <mergeCell ref="AL82"/>
    <mergeCell ref="AM82"/>
    <mergeCell ref="AN82"/>
    <mergeCell ref="AO82"/>
    <mergeCell ref="AP82"/>
    <mergeCell ref="AQ82"/>
    <mergeCell ref="AR82"/>
    <mergeCell ref="A83"/>
    <mergeCell ref="B83"/>
    <mergeCell ref="C83"/>
    <mergeCell ref="D83"/>
    <mergeCell ref="E83"/>
    <mergeCell ref="F83"/>
    <mergeCell ref="G83"/>
    <mergeCell ref="H83"/>
    <mergeCell ref="I83"/>
    <mergeCell ref="J83"/>
    <mergeCell ref="K83"/>
    <mergeCell ref="L83"/>
    <mergeCell ref="M83"/>
    <mergeCell ref="N83"/>
    <mergeCell ref="O83"/>
    <mergeCell ref="P83"/>
    <mergeCell ref="Q83"/>
    <mergeCell ref="R83"/>
    <mergeCell ref="S83"/>
    <mergeCell ref="T83"/>
    <mergeCell ref="U83"/>
    <mergeCell ref="V83"/>
    <mergeCell ref="W83"/>
    <mergeCell ref="X83"/>
    <mergeCell ref="Y83"/>
    <mergeCell ref="Z83"/>
    <mergeCell ref="AA83"/>
    <mergeCell ref="AB83"/>
    <mergeCell ref="AC83"/>
    <mergeCell ref="AD83"/>
    <mergeCell ref="AE83"/>
    <mergeCell ref="AF83"/>
    <mergeCell ref="AG83"/>
    <mergeCell ref="AH83"/>
    <mergeCell ref="AI83"/>
    <mergeCell ref="AJ83"/>
    <mergeCell ref="AK83"/>
    <mergeCell ref="AL83"/>
    <mergeCell ref="AM83"/>
    <mergeCell ref="AN83"/>
    <mergeCell ref="AO83"/>
    <mergeCell ref="AP83"/>
    <mergeCell ref="AQ83"/>
    <mergeCell ref="AR83"/>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R84"/>
    <mergeCell ref="S84"/>
    <mergeCell ref="T84"/>
    <mergeCell ref="U84"/>
    <mergeCell ref="V84"/>
    <mergeCell ref="W84"/>
    <mergeCell ref="X84"/>
    <mergeCell ref="Y84"/>
    <mergeCell ref="Z84"/>
    <mergeCell ref="AA84"/>
    <mergeCell ref="AB84"/>
    <mergeCell ref="AC84"/>
    <mergeCell ref="AD84"/>
    <mergeCell ref="AE84"/>
    <mergeCell ref="AF84"/>
    <mergeCell ref="AG84"/>
    <mergeCell ref="AH84"/>
    <mergeCell ref="AI84"/>
    <mergeCell ref="AJ84"/>
    <mergeCell ref="AK84"/>
    <mergeCell ref="AL84"/>
    <mergeCell ref="AM84"/>
    <mergeCell ref="AN84"/>
    <mergeCell ref="AO84"/>
    <mergeCell ref="AP84"/>
    <mergeCell ref="AQ84"/>
    <mergeCell ref="AR84"/>
    <mergeCell ref="A85"/>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5"/>
    <mergeCell ref="S85"/>
    <mergeCell ref="T85"/>
    <mergeCell ref="U85"/>
    <mergeCell ref="V85"/>
    <mergeCell ref="W85"/>
    <mergeCell ref="X85"/>
    <mergeCell ref="Y85"/>
    <mergeCell ref="Z85"/>
    <mergeCell ref="AA85"/>
    <mergeCell ref="AB85"/>
    <mergeCell ref="AC85"/>
    <mergeCell ref="AD85"/>
    <mergeCell ref="AE85"/>
    <mergeCell ref="AF85"/>
    <mergeCell ref="AG85"/>
    <mergeCell ref="AH85"/>
    <mergeCell ref="AI85"/>
    <mergeCell ref="AJ85"/>
    <mergeCell ref="AK85"/>
    <mergeCell ref="AL85"/>
    <mergeCell ref="AM85"/>
    <mergeCell ref="AN85"/>
    <mergeCell ref="AO85"/>
    <mergeCell ref="AP85"/>
    <mergeCell ref="AQ85"/>
    <mergeCell ref="AR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U86"/>
    <mergeCell ref="V86"/>
    <mergeCell ref="W86"/>
    <mergeCell ref="X86"/>
    <mergeCell ref="Y86"/>
    <mergeCell ref="Z86"/>
    <mergeCell ref="AA86"/>
    <mergeCell ref="AB86"/>
    <mergeCell ref="AC86"/>
    <mergeCell ref="AD86"/>
    <mergeCell ref="AE86"/>
    <mergeCell ref="AF86"/>
    <mergeCell ref="AG86"/>
    <mergeCell ref="AH86"/>
    <mergeCell ref="AI86"/>
    <mergeCell ref="AJ86"/>
    <mergeCell ref="AK86"/>
    <mergeCell ref="AL86"/>
    <mergeCell ref="AM86"/>
    <mergeCell ref="AN86"/>
    <mergeCell ref="AO86"/>
    <mergeCell ref="AP86"/>
    <mergeCell ref="AQ86"/>
    <mergeCell ref="AR86"/>
    <mergeCell ref="A87"/>
    <mergeCell ref="B87"/>
    <mergeCell ref="C87"/>
    <mergeCell ref="D87"/>
    <mergeCell ref="E87"/>
    <mergeCell ref="F87"/>
    <mergeCell ref="G87"/>
    <mergeCell ref="H87"/>
    <mergeCell ref="I87"/>
    <mergeCell ref="J87"/>
    <mergeCell ref="K87"/>
    <mergeCell ref="L87"/>
    <mergeCell ref="M87"/>
    <mergeCell ref="N87"/>
    <mergeCell ref="O87"/>
    <mergeCell ref="P87"/>
    <mergeCell ref="Q87"/>
    <mergeCell ref="R87"/>
    <mergeCell ref="S87"/>
    <mergeCell ref="T87"/>
    <mergeCell ref="U87"/>
    <mergeCell ref="V87"/>
    <mergeCell ref="W87"/>
    <mergeCell ref="X87"/>
    <mergeCell ref="Y87"/>
    <mergeCell ref="Z87"/>
    <mergeCell ref="AA87"/>
    <mergeCell ref="AB87"/>
    <mergeCell ref="AC87"/>
    <mergeCell ref="AD87"/>
    <mergeCell ref="AE87"/>
    <mergeCell ref="AF87"/>
    <mergeCell ref="AG87"/>
    <mergeCell ref="AH87"/>
    <mergeCell ref="AI87"/>
    <mergeCell ref="AJ87"/>
    <mergeCell ref="AK87"/>
    <mergeCell ref="AL87"/>
    <mergeCell ref="AM87"/>
    <mergeCell ref="AN87"/>
    <mergeCell ref="AO87"/>
    <mergeCell ref="AP87"/>
    <mergeCell ref="AQ87"/>
    <mergeCell ref="AR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U88"/>
    <mergeCell ref="V88"/>
    <mergeCell ref="W88"/>
    <mergeCell ref="X88"/>
    <mergeCell ref="Y88"/>
    <mergeCell ref="Z88"/>
    <mergeCell ref="AA88"/>
    <mergeCell ref="AB88"/>
    <mergeCell ref="AC88"/>
    <mergeCell ref="AD88"/>
    <mergeCell ref="AE88"/>
    <mergeCell ref="AF88"/>
    <mergeCell ref="AG88"/>
    <mergeCell ref="AH88"/>
    <mergeCell ref="AI88"/>
    <mergeCell ref="AJ88"/>
    <mergeCell ref="AK88"/>
    <mergeCell ref="AL88"/>
    <mergeCell ref="AM88"/>
    <mergeCell ref="AN88"/>
    <mergeCell ref="AO88"/>
    <mergeCell ref="AP88"/>
    <mergeCell ref="AQ88"/>
    <mergeCell ref="AR88"/>
    <mergeCell ref="A89"/>
    <mergeCell ref="B89"/>
    <mergeCell ref="C89"/>
    <mergeCell ref="D89"/>
    <mergeCell ref="E89"/>
    <mergeCell ref="F89"/>
    <mergeCell ref="G89"/>
    <mergeCell ref="H89"/>
    <mergeCell ref="I89"/>
    <mergeCell ref="J89"/>
    <mergeCell ref="K89"/>
    <mergeCell ref="L89"/>
    <mergeCell ref="M89"/>
    <mergeCell ref="N89"/>
    <mergeCell ref="O89"/>
    <mergeCell ref="P89"/>
    <mergeCell ref="Q89"/>
    <mergeCell ref="R89"/>
    <mergeCell ref="S89"/>
    <mergeCell ref="T89"/>
    <mergeCell ref="U89"/>
    <mergeCell ref="V89"/>
    <mergeCell ref="W89"/>
    <mergeCell ref="X89"/>
    <mergeCell ref="Y89"/>
    <mergeCell ref="Z89"/>
    <mergeCell ref="AA89"/>
    <mergeCell ref="AB89"/>
    <mergeCell ref="AC89"/>
    <mergeCell ref="AD89"/>
    <mergeCell ref="AE89"/>
    <mergeCell ref="AF89"/>
    <mergeCell ref="AG89"/>
    <mergeCell ref="AH89"/>
    <mergeCell ref="AI89"/>
    <mergeCell ref="AJ89"/>
    <mergeCell ref="AK89"/>
    <mergeCell ref="AL89"/>
    <mergeCell ref="AM89"/>
    <mergeCell ref="AN89"/>
    <mergeCell ref="AO89"/>
    <mergeCell ref="AP89"/>
    <mergeCell ref="AQ89"/>
    <mergeCell ref="AR89"/>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R90"/>
    <mergeCell ref="S90"/>
    <mergeCell ref="T90"/>
    <mergeCell ref="U90"/>
    <mergeCell ref="V90"/>
    <mergeCell ref="W90"/>
    <mergeCell ref="X90"/>
    <mergeCell ref="Y90"/>
    <mergeCell ref="Z90"/>
    <mergeCell ref="AA90"/>
    <mergeCell ref="AB90"/>
    <mergeCell ref="AC90"/>
    <mergeCell ref="AD90"/>
    <mergeCell ref="AE90"/>
    <mergeCell ref="AF90"/>
    <mergeCell ref="AG90"/>
    <mergeCell ref="AH90"/>
    <mergeCell ref="AI90"/>
    <mergeCell ref="AJ90"/>
    <mergeCell ref="AK90"/>
    <mergeCell ref="AL90"/>
    <mergeCell ref="AM90"/>
    <mergeCell ref="AN90"/>
    <mergeCell ref="AO90"/>
    <mergeCell ref="AP90"/>
    <mergeCell ref="AQ90"/>
    <mergeCell ref="AR90"/>
    <mergeCell ref="A91"/>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91"/>
    <mergeCell ref="S91"/>
    <mergeCell ref="T91"/>
    <mergeCell ref="U91"/>
    <mergeCell ref="V91"/>
    <mergeCell ref="W91"/>
    <mergeCell ref="X91"/>
    <mergeCell ref="Y91"/>
    <mergeCell ref="Z91"/>
    <mergeCell ref="AA91"/>
    <mergeCell ref="AB91"/>
    <mergeCell ref="AC91"/>
    <mergeCell ref="AD91"/>
    <mergeCell ref="AE91"/>
    <mergeCell ref="AF91"/>
    <mergeCell ref="AG91"/>
    <mergeCell ref="AH91"/>
    <mergeCell ref="AI91"/>
    <mergeCell ref="AJ91"/>
    <mergeCell ref="AK91"/>
    <mergeCell ref="AL91"/>
    <mergeCell ref="AM91"/>
    <mergeCell ref="AN91"/>
    <mergeCell ref="AO91"/>
    <mergeCell ref="AP91"/>
    <mergeCell ref="AQ91"/>
    <mergeCell ref="AR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U92"/>
    <mergeCell ref="V92"/>
    <mergeCell ref="W92"/>
    <mergeCell ref="X92"/>
    <mergeCell ref="Y92"/>
    <mergeCell ref="Z92"/>
    <mergeCell ref="AA92"/>
    <mergeCell ref="AB92"/>
    <mergeCell ref="AC92"/>
    <mergeCell ref="AD92"/>
    <mergeCell ref="AE92"/>
    <mergeCell ref="AF92"/>
    <mergeCell ref="AG92"/>
    <mergeCell ref="AH92"/>
    <mergeCell ref="AI92"/>
    <mergeCell ref="AJ92"/>
    <mergeCell ref="AK92"/>
    <mergeCell ref="AL92"/>
    <mergeCell ref="AM92"/>
    <mergeCell ref="AN92"/>
    <mergeCell ref="AO92"/>
    <mergeCell ref="AP92"/>
    <mergeCell ref="AQ92"/>
    <mergeCell ref="AR92"/>
    <mergeCell ref="A93"/>
    <mergeCell ref="B93"/>
    <mergeCell ref="C93"/>
    <mergeCell ref="D93"/>
    <mergeCell ref="E93"/>
    <mergeCell ref="F93"/>
    <mergeCell ref="G93"/>
    <mergeCell ref="H93"/>
    <mergeCell ref="I93"/>
    <mergeCell ref="J93"/>
    <mergeCell ref="K93"/>
    <mergeCell ref="L93"/>
    <mergeCell ref="M93"/>
    <mergeCell ref="N93"/>
    <mergeCell ref="O93"/>
    <mergeCell ref="P93"/>
    <mergeCell ref="Q93"/>
    <mergeCell ref="R93"/>
    <mergeCell ref="S93"/>
    <mergeCell ref="T93"/>
    <mergeCell ref="U93"/>
    <mergeCell ref="V93"/>
    <mergeCell ref="W93"/>
    <mergeCell ref="X93"/>
    <mergeCell ref="Y93"/>
    <mergeCell ref="Z93"/>
    <mergeCell ref="AA93"/>
    <mergeCell ref="AB93"/>
    <mergeCell ref="AC93"/>
    <mergeCell ref="AD93"/>
    <mergeCell ref="AE93"/>
    <mergeCell ref="AF93"/>
    <mergeCell ref="AG93"/>
    <mergeCell ref="AH93"/>
    <mergeCell ref="AI93"/>
    <mergeCell ref="AJ93"/>
    <mergeCell ref="AK93"/>
    <mergeCell ref="AL93"/>
    <mergeCell ref="AM93"/>
    <mergeCell ref="AN93"/>
    <mergeCell ref="AO93"/>
    <mergeCell ref="AP93"/>
    <mergeCell ref="AQ93"/>
    <mergeCell ref="AR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U94"/>
    <mergeCell ref="V94"/>
    <mergeCell ref="W94"/>
    <mergeCell ref="X94"/>
    <mergeCell ref="Y94"/>
    <mergeCell ref="Z94"/>
    <mergeCell ref="AA94"/>
    <mergeCell ref="AB94"/>
    <mergeCell ref="AC94"/>
    <mergeCell ref="AD94"/>
    <mergeCell ref="AE94"/>
    <mergeCell ref="AF94"/>
    <mergeCell ref="AG94"/>
    <mergeCell ref="AH94"/>
    <mergeCell ref="AI94"/>
    <mergeCell ref="AJ94"/>
    <mergeCell ref="AK94"/>
    <mergeCell ref="AL94"/>
    <mergeCell ref="AM94"/>
    <mergeCell ref="AN94"/>
    <mergeCell ref="AO94"/>
    <mergeCell ref="AP94"/>
    <mergeCell ref="AQ94"/>
    <mergeCell ref="AR94"/>
    <mergeCell ref="A95"/>
    <mergeCell ref="B95"/>
    <mergeCell ref="C95"/>
    <mergeCell ref="D95"/>
    <mergeCell ref="E95"/>
    <mergeCell ref="F95"/>
    <mergeCell ref="G95"/>
    <mergeCell ref="H95"/>
    <mergeCell ref="I95"/>
    <mergeCell ref="J95"/>
    <mergeCell ref="K95"/>
    <mergeCell ref="L95"/>
    <mergeCell ref="M95"/>
    <mergeCell ref="N95"/>
    <mergeCell ref="O95"/>
    <mergeCell ref="P95"/>
    <mergeCell ref="Q95"/>
    <mergeCell ref="R95"/>
    <mergeCell ref="S95"/>
    <mergeCell ref="T95"/>
    <mergeCell ref="U95"/>
    <mergeCell ref="V95"/>
    <mergeCell ref="W95"/>
    <mergeCell ref="X95"/>
    <mergeCell ref="Y95"/>
    <mergeCell ref="Z95"/>
    <mergeCell ref="AA95"/>
    <mergeCell ref="AB95"/>
    <mergeCell ref="AC95"/>
    <mergeCell ref="AD95"/>
    <mergeCell ref="AE95"/>
    <mergeCell ref="AF95"/>
    <mergeCell ref="AG95"/>
    <mergeCell ref="AH95"/>
    <mergeCell ref="AI95"/>
    <mergeCell ref="AJ95"/>
    <mergeCell ref="AK95"/>
    <mergeCell ref="AL95"/>
    <mergeCell ref="AM95"/>
    <mergeCell ref="AN95"/>
    <mergeCell ref="AO95"/>
    <mergeCell ref="AP95"/>
    <mergeCell ref="AQ95"/>
    <mergeCell ref="AR95"/>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R96"/>
    <mergeCell ref="S96"/>
    <mergeCell ref="T96"/>
    <mergeCell ref="U96"/>
    <mergeCell ref="V96"/>
    <mergeCell ref="W96"/>
    <mergeCell ref="X96"/>
    <mergeCell ref="Y96"/>
    <mergeCell ref="Z96"/>
    <mergeCell ref="AA96"/>
    <mergeCell ref="AB96"/>
    <mergeCell ref="AC96"/>
    <mergeCell ref="AD96"/>
    <mergeCell ref="AE96"/>
    <mergeCell ref="AF96"/>
    <mergeCell ref="AG96"/>
    <mergeCell ref="AH96"/>
    <mergeCell ref="AI96"/>
    <mergeCell ref="AJ96"/>
    <mergeCell ref="AK96"/>
    <mergeCell ref="AL96"/>
    <mergeCell ref="AM96"/>
    <mergeCell ref="AN96"/>
    <mergeCell ref="AO96"/>
    <mergeCell ref="AP96"/>
    <mergeCell ref="AQ96"/>
    <mergeCell ref="AR96"/>
    <mergeCell ref="A97"/>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7"/>
    <mergeCell ref="S97"/>
    <mergeCell ref="T97"/>
    <mergeCell ref="U97"/>
    <mergeCell ref="V97"/>
    <mergeCell ref="W97"/>
    <mergeCell ref="X97"/>
    <mergeCell ref="Y97"/>
    <mergeCell ref="Z97"/>
    <mergeCell ref="AA97"/>
    <mergeCell ref="AB97"/>
    <mergeCell ref="AC97"/>
    <mergeCell ref="AD97"/>
    <mergeCell ref="AE97"/>
    <mergeCell ref="AF97"/>
    <mergeCell ref="AG97"/>
    <mergeCell ref="AH97"/>
    <mergeCell ref="AI97"/>
    <mergeCell ref="AJ97"/>
    <mergeCell ref="AK97"/>
    <mergeCell ref="AL97"/>
    <mergeCell ref="AM97"/>
    <mergeCell ref="AN97"/>
    <mergeCell ref="AO97"/>
    <mergeCell ref="AP97"/>
    <mergeCell ref="AQ97"/>
    <mergeCell ref="AR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U98"/>
    <mergeCell ref="V98"/>
    <mergeCell ref="W98"/>
    <mergeCell ref="X98"/>
    <mergeCell ref="Y98"/>
    <mergeCell ref="Z98"/>
    <mergeCell ref="AA98"/>
    <mergeCell ref="AB98"/>
    <mergeCell ref="AC98"/>
    <mergeCell ref="AD98"/>
    <mergeCell ref="AE98"/>
    <mergeCell ref="AF98"/>
    <mergeCell ref="AG98"/>
    <mergeCell ref="AH98"/>
    <mergeCell ref="AI98"/>
    <mergeCell ref="AJ98"/>
    <mergeCell ref="AK98"/>
    <mergeCell ref="AL98"/>
    <mergeCell ref="AM98"/>
    <mergeCell ref="AN98"/>
    <mergeCell ref="AO98"/>
    <mergeCell ref="AP98"/>
    <mergeCell ref="AQ98"/>
    <mergeCell ref="AR98"/>
    <mergeCell ref="A99"/>
    <mergeCell ref="B99"/>
    <mergeCell ref="C99"/>
    <mergeCell ref="D99"/>
    <mergeCell ref="E99"/>
    <mergeCell ref="F99"/>
    <mergeCell ref="G99"/>
    <mergeCell ref="H99"/>
    <mergeCell ref="I99"/>
    <mergeCell ref="J99"/>
    <mergeCell ref="K99"/>
    <mergeCell ref="L99"/>
    <mergeCell ref="M99"/>
    <mergeCell ref="N99"/>
    <mergeCell ref="O99"/>
    <mergeCell ref="P99"/>
    <mergeCell ref="Q99"/>
    <mergeCell ref="R99"/>
    <mergeCell ref="S99"/>
    <mergeCell ref="T99"/>
    <mergeCell ref="U99"/>
    <mergeCell ref="V99"/>
    <mergeCell ref="W99"/>
    <mergeCell ref="X99"/>
    <mergeCell ref="Y99"/>
    <mergeCell ref="Z99"/>
    <mergeCell ref="AA99"/>
    <mergeCell ref="AB99"/>
    <mergeCell ref="AC99"/>
    <mergeCell ref="AD99"/>
    <mergeCell ref="AE99"/>
    <mergeCell ref="AF99"/>
    <mergeCell ref="AG99"/>
    <mergeCell ref="AH99"/>
    <mergeCell ref="AI99"/>
    <mergeCell ref="AJ99"/>
    <mergeCell ref="AK99"/>
    <mergeCell ref="AL99"/>
    <mergeCell ref="AM99"/>
    <mergeCell ref="AN99"/>
    <mergeCell ref="AO99"/>
    <mergeCell ref="AP99"/>
    <mergeCell ref="AQ99"/>
    <mergeCell ref="AR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U100"/>
    <mergeCell ref="V100"/>
    <mergeCell ref="W100"/>
    <mergeCell ref="X100"/>
    <mergeCell ref="Y100"/>
    <mergeCell ref="Z100"/>
    <mergeCell ref="AA100"/>
    <mergeCell ref="AB100"/>
    <mergeCell ref="AC100"/>
    <mergeCell ref="AD100"/>
    <mergeCell ref="AE100"/>
    <mergeCell ref="AF100"/>
    <mergeCell ref="AG100"/>
    <mergeCell ref="AH100"/>
    <mergeCell ref="AI100"/>
    <mergeCell ref="AJ100"/>
    <mergeCell ref="AK100"/>
    <mergeCell ref="AL100"/>
    <mergeCell ref="AM100"/>
    <mergeCell ref="AN100"/>
    <mergeCell ref="AO100"/>
    <mergeCell ref="AP100"/>
    <mergeCell ref="AQ100"/>
    <mergeCell ref="AR100"/>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101"/>
    <mergeCell ref="S101"/>
    <mergeCell ref="T101"/>
    <mergeCell ref="U101"/>
    <mergeCell ref="V101"/>
    <mergeCell ref="W101"/>
    <mergeCell ref="X101"/>
    <mergeCell ref="Y101"/>
    <mergeCell ref="Z101"/>
    <mergeCell ref="AA101"/>
    <mergeCell ref="AB101"/>
    <mergeCell ref="AC101"/>
    <mergeCell ref="AD101"/>
    <mergeCell ref="AE101"/>
    <mergeCell ref="AF101"/>
    <mergeCell ref="AG101"/>
    <mergeCell ref="AH101"/>
    <mergeCell ref="AI101"/>
    <mergeCell ref="AJ101"/>
    <mergeCell ref="AK101"/>
    <mergeCell ref="AL101"/>
    <mergeCell ref="AM101"/>
    <mergeCell ref="AN101"/>
    <mergeCell ref="AO101"/>
    <mergeCell ref="AP101"/>
    <mergeCell ref="AQ101"/>
    <mergeCell ref="AR101"/>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I1"/>
    <mergeCell ref="AJ1"/>
    <mergeCell ref="AK1"/>
    <mergeCell ref="AL1"/>
    <mergeCell ref="AM1"/>
    <mergeCell ref="AN1"/>
    <mergeCell ref="AO1"/>
    <mergeCell ref="AP1"/>
    <mergeCell ref="AQ1"/>
    <mergeCell ref="AR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Q2"/>
    <mergeCell ref="AR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W4"/>
    <mergeCell ref="X4"/>
    <mergeCell ref="Y4"/>
    <mergeCell ref="Z4"/>
    <mergeCell ref="AA4"/>
    <mergeCell ref="AB4"/>
    <mergeCell ref="AC4"/>
    <mergeCell ref="AD4"/>
    <mergeCell ref="AE4"/>
    <mergeCell ref="AF4"/>
    <mergeCell ref="AG4"/>
    <mergeCell ref="AH4"/>
    <mergeCell ref="AI4"/>
    <mergeCell ref="AJ4"/>
    <mergeCell ref="AK4"/>
    <mergeCell ref="AL4"/>
    <mergeCell ref="AM4"/>
    <mergeCell ref="AN4"/>
    <mergeCell ref="AO4"/>
    <mergeCell ref="AP4"/>
    <mergeCell ref="AQ4"/>
    <mergeCell ref="AR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N5"/>
    <mergeCell ref="AO5"/>
    <mergeCell ref="AP5"/>
    <mergeCell ref="AQ5"/>
    <mergeCell ref="AR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K6"/>
    <mergeCell ref="AL6"/>
    <mergeCell ref="AM6"/>
    <mergeCell ref="AN6"/>
    <mergeCell ref="AO6"/>
    <mergeCell ref="AP6"/>
    <mergeCell ref="AQ6"/>
    <mergeCell ref="AR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S7"/>
    <mergeCell ref="T7"/>
    <mergeCell ref="U7"/>
    <mergeCell ref="V7"/>
    <mergeCell ref="W7"/>
    <mergeCell ref="X7"/>
    <mergeCell ref="Y7"/>
    <mergeCell ref="Z7"/>
    <mergeCell ref="AA7"/>
    <mergeCell ref="AB7"/>
    <mergeCell ref="AC7"/>
    <mergeCell ref="AD7"/>
    <mergeCell ref="AE7"/>
    <mergeCell ref="AF7"/>
    <mergeCell ref="AG7"/>
    <mergeCell ref="AH7"/>
    <mergeCell ref="AI7"/>
    <mergeCell ref="AJ7"/>
    <mergeCell ref="AK7"/>
    <mergeCell ref="AL7"/>
    <mergeCell ref="AM7"/>
    <mergeCell ref="AN7"/>
    <mergeCell ref="AO7"/>
    <mergeCell ref="AP7"/>
    <mergeCell ref="AQ7"/>
    <mergeCell ref="AR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X8"/>
    <mergeCell ref="Y8"/>
    <mergeCell ref="Z8"/>
    <mergeCell ref="AA8"/>
    <mergeCell ref="AB8"/>
    <mergeCell ref="AC8"/>
    <mergeCell ref="AD8"/>
    <mergeCell ref="AE8"/>
    <mergeCell ref="AF8"/>
    <mergeCell ref="AG8"/>
    <mergeCell ref="AH8"/>
    <mergeCell ref="AI8"/>
    <mergeCell ref="AJ8"/>
    <mergeCell ref="AK8"/>
    <mergeCell ref="AL8"/>
    <mergeCell ref="AM8"/>
    <mergeCell ref="AN8"/>
    <mergeCell ref="AO8"/>
    <mergeCell ref="AP8"/>
    <mergeCell ref="AQ8"/>
    <mergeCell ref="AR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V10"/>
    <mergeCell ref="W10"/>
    <mergeCell ref="X10"/>
    <mergeCell ref="Y10"/>
    <mergeCell ref="Z10"/>
    <mergeCell ref="AA10"/>
    <mergeCell ref="AB10"/>
    <mergeCell ref="AC10"/>
    <mergeCell ref="AD10"/>
    <mergeCell ref="AE10"/>
    <mergeCell ref="AF10"/>
    <mergeCell ref="AG10"/>
    <mergeCell ref="AH10"/>
    <mergeCell ref="AI10"/>
    <mergeCell ref="AJ10"/>
    <mergeCell ref="AK10"/>
    <mergeCell ref="AL10"/>
    <mergeCell ref="AM10"/>
    <mergeCell ref="AN10"/>
    <mergeCell ref="AO10"/>
    <mergeCell ref="AP10"/>
    <mergeCell ref="AQ10"/>
    <mergeCell ref="AR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V11"/>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M11"/>
    <mergeCell ref="AN11"/>
    <mergeCell ref="AO11"/>
    <mergeCell ref="AP11"/>
    <mergeCell ref="AQ11"/>
    <mergeCell ref="AR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W12"/>
    <mergeCell ref="X12"/>
    <mergeCell ref="Y12"/>
    <mergeCell ref="Z12"/>
    <mergeCell ref="AA12"/>
    <mergeCell ref="AB12"/>
    <mergeCell ref="AC12"/>
    <mergeCell ref="AD12"/>
    <mergeCell ref="AE12"/>
    <mergeCell ref="AF12"/>
    <mergeCell ref="AG12"/>
    <mergeCell ref="AH12"/>
    <mergeCell ref="AI12"/>
    <mergeCell ref="AJ12"/>
    <mergeCell ref="AK12"/>
    <mergeCell ref="AL12"/>
    <mergeCell ref="AM12"/>
    <mergeCell ref="AN12"/>
    <mergeCell ref="AO12"/>
    <mergeCell ref="AP12"/>
    <mergeCell ref="AQ12"/>
    <mergeCell ref="AR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I13"/>
    <mergeCell ref="AJ13"/>
    <mergeCell ref="AK13"/>
    <mergeCell ref="AL13"/>
    <mergeCell ref="AM13"/>
    <mergeCell ref="AN13"/>
    <mergeCell ref="AO13"/>
    <mergeCell ref="AP13"/>
    <mergeCell ref="AQ13"/>
    <mergeCell ref="AR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AC14"/>
    <mergeCell ref="AD14"/>
    <mergeCell ref="AE14"/>
    <mergeCell ref="AF14"/>
    <mergeCell ref="AG14"/>
    <mergeCell ref="AH14"/>
    <mergeCell ref="AI14"/>
    <mergeCell ref="AJ14"/>
    <mergeCell ref="AK14"/>
    <mergeCell ref="AL14"/>
    <mergeCell ref="AM14"/>
    <mergeCell ref="AN14"/>
    <mergeCell ref="AO14"/>
    <mergeCell ref="AP14"/>
    <mergeCell ref="AQ14"/>
    <mergeCell ref="AR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AB15"/>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X16"/>
    <mergeCell ref="Y16"/>
    <mergeCell ref="Z16"/>
    <mergeCell ref="AA16"/>
    <mergeCell ref="AB16"/>
    <mergeCell ref="AC16"/>
    <mergeCell ref="AD16"/>
    <mergeCell ref="AE16"/>
    <mergeCell ref="AF16"/>
    <mergeCell ref="AG16"/>
    <mergeCell ref="AH16"/>
    <mergeCell ref="AI16"/>
    <mergeCell ref="AJ16"/>
    <mergeCell ref="AK16"/>
    <mergeCell ref="AL16"/>
    <mergeCell ref="AM16"/>
    <mergeCell ref="AN16"/>
    <mergeCell ref="AO16"/>
    <mergeCell ref="AP16"/>
    <mergeCell ref="AQ16"/>
    <mergeCell ref="AR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N17"/>
    <mergeCell ref="AO17"/>
    <mergeCell ref="AP17"/>
    <mergeCell ref="AQ17"/>
    <mergeCell ref="AR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W18"/>
    <mergeCell ref="X18"/>
    <mergeCell ref="Y18"/>
    <mergeCell ref="Z18"/>
    <mergeCell ref="AA18"/>
    <mergeCell ref="AB18"/>
    <mergeCell ref="AC18"/>
    <mergeCell ref="AD18"/>
    <mergeCell ref="AE18"/>
    <mergeCell ref="AF18"/>
    <mergeCell ref="AG18"/>
    <mergeCell ref="AH18"/>
    <mergeCell ref="AI18"/>
    <mergeCell ref="AJ18"/>
    <mergeCell ref="AK18"/>
    <mergeCell ref="AL18"/>
    <mergeCell ref="AM18"/>
    <mergeCell ref="AN18"/>
    <mergeCell ref="AO18"/>
    <mergeCell ref="AP18"/>
    <mergeCell ref="AQ18"/>
    <mergeCell ref="AR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H19"/>
    <mergeCell ref="AI19"/>
    <mergeCell ref="AJ19"/>
    <mergeCell ref="AK19"/>
    <mergeCell ref="AL19"/>
    <mergeCell ref="AM19"/>
    <mergeCell ref="AN19"/>
    <mergeCell ref="AO19"/>
    <mergeCell ref="AP19"/>
    <mergeCell ref="AQ19"/>
    <mergeCell ref="AR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AC20"/>
    <mergeCell ref="AD20"/>
    <mergeCell ref="AE20"/>
    <mergeCell ref="AF20"/>
    <mergeCell ref="AG20"/>
    <mergeCell ref="AH20"/>
    <mergeCell ref="AI20"/>
    <mergeCell ref="AJ20"/>
    <mergeCell ref="AK20"/>
    <mergeCell ref="AL20"/>
    <mergeCell ref="AM20"/>
    <mergeCell ref="AN20"/>
    <mergeCell ref="AO20"/>
    <mergeCell ref="AP20"/>
    <mergeCell ref="AQ20"/>
    <mergeCell ref="AR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X22"/>
    <mergeCell ref="Y22"/>
    <mergeCell ref="Z22"/>
    <mergeCell ref="AA22"/>
    <mergeCell ref="AB22"/>
    <mergeCell ref="AC22"/>
    <mergeCell ref="AD22"/>
    <mergeCell ref="AE22"/>
    <mergeCell ref="AF22"/>
    <mergeCell ref="AG22"/>
    <mergeCell ref="AH22"/>
    <mergeCell ref="AI22"/>
    <mergeCell ref="AJ22"/>
    <mergeCell ref="AK22"/>
    <mergeCell ref="AL22"/>
    <mergeCell ref="AM22"/>
    <mergeCell ref="AN22"/>
    <mergeCell ref="AO22"/>
    <mergeCell ref="AP22"/>
    <mergeCell ref="AQ22"/>
    <mergeCell ref="AR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M23"/>
    <mergeCell ref="AN23"/>
    <mergeCell ref="AO23"/>
    <mergeCell ref="AP23"/>
    <mergeCell ref="AQ23"/>
    <mergeCell ref="AR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W24"/>
    <mergeCell ref="X24"/>
    <mergeCell ref="Y24"/>
    <mergeCell ref="Z24"/>
    <mergeCell ref="AA24"/>
    <mergeCell ref="AB24"/>
    <mergeCell ref="AC24"/>
    <mergeCell ref="AD24"/>
    <mergeCell ref="AE24"/>
    <mergeCell ref="AF24"/>
    <mergeCell ref="AG24"/>
    <mergeCell ref="AH24"/>
    <mergeCell ref="AI24"/>
    <mergeCell ref="AJ24"/>
    <mergeCell ref="AK24"/>
    <mergeCell ref="AL24"/>
    <mergeCell ref="AM24"/>
    <mergeCell ref="AN24"/>
    <mergeCell ref="AO24"/>
    <mergeCell ref="AP24"/>
    <mergeCell ref="AQ24"/>
    <mergeCell ref="AR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I25"/>
    <mergeCell ref="AJ25"/>
    <mergeCell ref="AK25"/>
    <mergeCell ref="AL25"/>
    <mergeCell ref="AM25"/>
    <mergeCell ref="AN25"/>
    <mergeCell ref="AO25"/>
    <mergeCell ref="AP25"/>
    <mergeCell ref="AQ25"/>
    <mergeCell ref="AR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AC26"/>
    <mergeCell ref="AD26"/>
    <mergeCell ref="AE26"/>
    <mergeCell ref="AF26"/>
    <mergeCell ref="AG26"/>
    <mergeCell ref="AH26"/>
    <mergeCell ref="AI26"/>
    <mergeCell ref="AJ26"/>
    <mergeCell ref="AK26"/>
    <mergeCell ref="AL26"/>
    <mergeCell ref="AM26"/>
    <mergeCell ref="AN26"/>
    <mergeCell ref="AO26"/>
    <mergeCell ref="AP26"/>
    <mergeCell ref="AQ26"/>
    <mergeCell ref="AR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AB27"/>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X28"/>
    <mergeCell ref="Y28"/>
    <mergeCell ref="Z28"/>
    <mergeCell ref="AA28"/>
    <mergeCell ref="AB28"/>
    <mergeCell ref="AC28"/>
    <mergeCell ref="AD28"/>
    <mergeCell ref="AE28"/>
    <mergeCell ref="AF28"/>
    <mergeCell ref="AG28"/>
    <mergeCell ref="AH28"/>
    <mergeCell ref="AI28"/>
    <mergeCell ref="AJ28"/>
    <mergeCell ref="AK28"/>
    <mergeCell ref="AL28"/>
    <mergeCell ref="AM28"/>
    <mergeCell ref="AN28"/>
    <mergeCell ref="AO28"/>
    <mergeCell ref="AP28"/>
    <mergeCell ref="AQ28"/>
    <mergeCell ref="AR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N29"/>
    <mergeCell ref="AO29"/>
    <mergeCell ref="AP29"/>
    <mergeCell ref="AQ29"/>
    <mergeCell ref="AR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W30"/>
    <mergeCell ref="X30"/>
    <mergeCell ref="Y30"/>
    <mergeCell ref="Z30"/>
    <mergeCell ref="AA30"/>
    <mergeCell ref="AB30"/>
    <mergeCell ref="AC30"/>
    <mergeCell ref="AD30"/>
    <mergeCell ref="AE30"/>
    <mergeCell ref="AF30"/>
    <mergeCell ref="AG30"/>
    <mergeCell ref="AH30"/>
    <mergeCell ref="AI30"/>
    <mergeCell ref="AJ30"/>
    <mergeCell ref="AK30"/>
    <mergeCell ref="AL30"/>
    <mergeCell ref="AM30"/>
    <mergeCell ref="AN30"/>
    <mergeCell ref="AO30"/>
    <mergeCell ref="AP30"/>
    <mergeCell ref="AQ30"/>
    <mergeCell ref="AR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H31"/>
    <mergeCell ref="AI31"/>
    <mergeCell ref="AJ31"/>
    <mergeCell ref="AK31"/>
    <mergeCell ref="AL31"/>
    <mergeCell ref="AM31"/>
    <mergeCell ref="AN31"/>
    <mergeCell ref="AO31"/>
    <mergeCell ref="AP31"/>
    <mergeCell ref="AQ31"/>
    <mergeCell ref="AR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AC32"/>
    <mergeCell ref="AD32"/>
    <mergeCell ref="AE32"/>
    <mergeCell ref="AF32"/>
    <mergeCell ref="AG32"/>
    <mergeCell ref="AH32"/>
    <mergeCell ref="AI32"/>
    <mergeCell ref="AJ32"/>
    <mergeCell ref="AK32"/>
    <mergeCell ref="AL32"/>
    <mergeCell ref="AM32"/>
    <mergeCell ref="AN32"/>
    <mergeCell ref="AO32"/>
    <mergeCell ref="AP32"/>
    <mergeCell ref="AQ32"/>
    <mergeCell ref="AR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V34"/>
    <mergeCell ref="W34"/>
    <mergeCell ref="X34"/>
    <mergeCell ref="Y34"/>
    <mergeCell ref="Z34"/>
    <mergeCell ref="AA34"/>
    <mergeCell ref="AB34"/>
    <mergeCell ref="AC34"/>
    <mergeCell ref="AD34"/>
    <mergeCell ref="AE34"/>
    <mergeCell ref="AF34"/>
    <mergeCell ref="AG34"/>
    <mergeCell ref="AH34"/>
    <mergeCell ref="AI34"/>
    <mergeCell ref="AJ34"/>
    <mergeCell ref="AK34"/>
    <mergeCell ref="AL34"/>
    <mergeCell ref="AM34"/>
    <mergeCell ref="AN34"/>
    <mergeCell ref="AO34"/>
    <mergeCell ref="AP34"/>
    <mergeCell ref="AQ34"/>
    <mergeCell ref="AR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M35"/>
    <mergeCell ref="AN35"/>
    <mergeCell ref="AO35"/>
    <mergeCell ref="AP35"/>
    <mergeCell ref="AQ35"/>
    <mergeCell ref="AR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AB36"/>
    <mergeCell ref="AC36"/>
    <mergeCell ref="AD36"/>
    <mergeCell ref="AE36"/>
    <mergeCell ref="AF36"/>
    <mergeCell ref="AG36"/>
    <mergeCell ref="AH36"/>
    <mergeCell ref="AI36"/>
    <mergeCell ref="AJ36"/>
    <mergeCell ref="AK36"/>
    <mergeCell ref="AL36"/>
    <mergeCell ref="AM36"/>
    <mergeCell ref="AN36"/>
    <mergeCell ref="AO36"/>
    <mergeCell ref="AP36"/>
    <mergeCell ref="AQ36"/>
    <mergeCell ref="AR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U37"/>
    <mergeCell ref="V37"/>
    <mergeCell ref="W37"/>
    <mergeCell ref="X37"/>
    <mergeCell ref="Y37"/>
    <mergeCell ref="Z37"/>
    <mergeCell ref="AA37"/>
    <mergeCell ref="AB37"/>
    <mergeCell ref="AC37"/>
    <mergeCell ref="AD37"/>
    <mergeCell ref="AE37"/>
    <mergeCell ref="AF37"/>
    <mergeCell ref="AG37"/>
    <mergeCell ref="AH37"/>
    <mergeCell ref="AI37"/>
    <mergeCell ref="AJ37"/>
    <mergeCell ref="AK37"/>
    <mergeCell ref="AL37"/>
    <mergeCell ref="AM37"/>
    <mergeCell ref="AN37"/>
    <mergeCell ref="AO37"/>
    <mergeCell ref="AP37"/>
    <mergeCell ref="AQ37"/>
    <mergeCell ref="AR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X38"/>
    <mergeCell ref="Y38"/>
    <mergeCell ref="Z38"/>
    <mergeCell ref="AA38"/>
    <mergeCell ref="AB38"/>
    <mergeCell ref="AC38"/>
    <mergeCell ref="AD38"/>
    <mergeCell ref="AE38"/>
    <mergeCell ref="AF38"/>
    <mergeCell ref="AG38"/>
    <mergeCell ref="AH38"/>
    <mergeCell ref="AI38"/>
    <mergeCell ref="AJ38"/>
    <mergeCell ref="AK38"/>
    <mergeCell ref="AL38"/>
    <mergeCell ref="AM38"/>
    <mergeCell ref="AN38"/>
    <mergeCell ref="AO38"/>
    <mergeCell ref="AP38"/>
    <mergeCell ref="AQ38"/>
    <mergeCell ref="AR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AC39"/>
    <mergeCell ref="AD39"/>
    <mergeCell ref="AE39"/>
    <mergeCell ref="AF39"/>
    <mergeCell ref="AG39"/>
    <mergeCell ref="AH39"/>
    <mergeCell ref="AI39"/>
    <mergeCell ref="AJ39"/>
    <mergeCell ref="AK39"/>
    <mergeCell ref="AL39"/>
    <mergeCell ref="AM39"/>
    <mergeCell ref="AN39"/>
    <mergeCell ref="AO39"/>
    <mergeCell ref="AP39"/>
    <mergeCell ref="AQ39"/>
    <mergeCell ref="AR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V40"/>
    <mergeCell ref="W40"/>
    <mergeCell ref="X40"/>
    <mergeCell ref="Y40"/>
    <mergeCell ref="Z40"/>
    <mergeCell ref="AA40"/>
    <mergeCell ref="AB40"/>
    <mergeCell ref="AC40"/>
    <mergeCell ref="AD40"/>
    <mergeCell ref="AE40"/>
    <mergeCell ref="AF40"/>
    <mergeCell ref="AG40"/>
    <mergeCell ref="AH40"/>
    <mergeCell ref="AI40"/>
    <mergeCell ref="AJ40"/>
    <mergeCell ref="AK40"/>
    <mergeCell ref="AL40"/>
    <mergeCell ref="AM40"/>
    <mergeCell ref="AN40"/>
    <mergeCell ref="AO40"/>
    <mergeCell ref="AP40"/>
    <mergeCell ref="AQ40"/>
    <mergeCell ref="AR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W41"/>
    <mergeCell ref="X41"/>
    <mergeCell ref="Y41"/>
    <mergeCell ref="Z41"/>
    <mergeCell ref="AA41"/>
    <mergeCell ref="AB41"/>
    <mergeCell ref="AC41"/>
    <mergeCell ref="AD41"/>
    <mergeCell ref="AE41"/>
    <mergeCell ref="AF41"/>
    <mergeCell ref="AG41"/>
    <mergeCell ref="AH41"/>
    <mergeCell ref="AI41"/>
    <mergeCell ref="AJ41"/>
    <mergeCell ref="AK41"/>
    <mergeCell ref="AL41"/>
    <mergeCell ref="AM41"/>
    <mergeCell ref="AN41"/>
    <mergeCell ref="AO41"/>
    <mergeCell ref="AP41"/>
    <mergeCell ref="AQ41"/>
    <mergeCell ref="AR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AB42"/>
    <mergeCell ref="AC42"/>
    <mergeCell ref="AD42"/>
    <mergeCell ref="AE42"/>
    <mergeCell ref="AF42"/>
    <mergeCell ref="AG42"/>
    <mergeCell ref="AH42"/>
    <mergeCell ref="AI42"/>
    <mergeCell ref="AJ42"/>
    <mergeCell ref="AK42"/>
    <mergeCell ref="AL42"/>
    <mergeCell ref="AM42"/>
    <mergeCell ref="AN42"/>
    <mergeCell ref="AO42"/>
    <mergeCell ref="AP42"/>
    <mergeCell ref="AQ42"/>
    <mergeCell ref="AR42"/>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3"/>
    <mergeCell ref="S43"/>
    <mergeCell ref="T43"/>
    <mergeCell ref="U43"/>
    <mergeCell ref="V43"/>
    <mergeCell ref="W43"/>
    <mergeCell ref="X43"/>
    <mergeCell ref="Y43"/>
    <mergeCell ref="Z43"/>
    <mergeCell ref="AA43"/>
    <mergeCell ref="AB43"/>
    <mergeCell ref="AC43"/>
    <mergeCell ref="AD43"/>
    <mergeCell ref="AE43"/>
    <mergeCell ref="AF43"/>
    <mergeCell ref="AG43"/>
    <mergeCell ref="AH43"/>
    <mergeCell ref="AI43"/>
    <mergeCell ref="AJ43"/>
    <mergeCell ref="AK43"/>
    <mergeCell ref="AL43"/>
    <mergeCell ref="AM43"/>
    <mergeCell ref="AN43"/>
    <mergeCell ref="AO43"/>
    <mergeCell ref="AP43"/>
    <mergeCell ref="AQ43"/>
    <mergeCell ref="AR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W44"/>
    <mergeCell ref="X44"/>
    <mergeCell ref="Y44"/>
    <mergeCell ref="Z44"/>
    <mergeCell ref="AA44"/>
    <mergeCell ref="AB44"/>
    <mergeCell ref="AC44"/>
    <mergeCell ref="AD44"/>
    <mergeCell ref="AE44"/>
    <mergeCell ref="AF44"/>
    <mergeCell ref="AG44"/>
    <mergeCell ref="AH44"/>
    <mergeCell ref="AI44"/>
    <mergeCell ref="AJ44"/>
    <mergeCell ref="AK44"/>
    <mergeCell ref="AL44"/>
    <mergeCell ref="AM44"/>
    <mergeCell ref="AN44"/>
    <mergeCell ref="AO44"/>
    <mergeCell ref="AP44"/>
    <mergeCell ref="AQ44"/>
    <mergeCell ref="AR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AB45"/>
    <mergeCell ref="AC45"/>
    <mergeCell ref="AD45"/>
    <mergeCell ref="AE45"/>
    <mergeCell ref="AF45"/>
    <mergeCell ref="AG45"/>
    <mergeCell ref="AH45"/>
    <mergeCell ref="AI45"/>
    <mergeCell ref="AJ45"/>
    <mergeCell ref="AK45"/>
    <mergeCell ref="AL45"/>
    <mergeCell ref="AM45"/>
    <mergeCell ref="AN45"/>
    <mergeCell ref="AO45"/>
    <mergeCell ref="AP45"/>
    <mergeCell ref="AQ45"/>
    <mergeCell ref="AR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V46"/>
    <mergeCell ref="W46"/>
    <mergeCell ref="X46"/>
    <mergeCell ref="Y46"/>
    <mergeCell ref="Z46"/>
    <mergeCell ref="AA46"/>
    <mergeCell ref="AB46"/>
    <mergeCell ref="AC46"/>
    <mergeCell ref="AD46"/>
    <mergeCell ref="AE46"/>
    <mergeCell ref="AF46"/>
    <mergeCell ref="AG46"/>
    <mergeCell ref="AH46"/>
    <mergeCell ref="AI46"/>
    <mergeCell ref="AJ46"/>
    <mergeCell ref="AK46"/>
    <mergeCell ref="AL46"/>
    <mergeCell ref="AM46"/>
    <mergeCell ref="AN46"/>
    <mergeCell ref="AO46"/>
    <mergeCell ref="AP46"/>
    <mergeCell ref="AQ46"/>
    <mergeCell ref="AR46"/>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7"/>
    <mergeCell ref="S47"/>
    <mergeCell ref="T47"/>
    <mergeCell ref="U47"/>
    <mergeCell ref="V47"/>
    <mergeCell ref="W47"/>
    <mergeCell ref="X47"/>
    <mergeCell ref="Y47"/>
    <mergeCell ref="Z47"/>
    <mergeCell ref="AA47"/>
    <mergeCell ref="AB47"/>
    <mergeCell ref="AC47"/>
    <mergeCell ref="AD47"/>
    <mergeCell ref="AE47"/>
    <mergeCell ref="AF47"/>
    <mergeCell ref="AG47"/>
    <mergeCell ref="AH47"/>
    <mergeCell ref="AI47"/>
    <mergeCell ref="AJ47"/>
    <mergeCell ref="AK47"/>
    <mergeCell ref="AL47"/>
    <mergeCell ref="AM47"/>
    <mergeCell ref="AN47"/>
    <mergeCell ref="AO47"/>
    <mergeCell ref="AP47"/>
    <mergeCell ref="AQ47"/>
    <mergeCell ref="AR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V48"/>
    <mergeCell ref="W48"/>
    <mergeCell ref="X48"/>
    <mergeCell ref="Y48"/>
    <mergeCell ref="Z48"/>
    <mergeCell ref="AA48"/>
    <mergeCell ref="AB48"/>
    <mergeCell ref="AC48"/>
    <mergeCell ref="AD48"/>
    <mergeCell ref="AE48"/>
    <mergeCell ref="AF48"/>
    <mergeCell ref="AG48"/>
    <mergeCell ref="AH48"/>
    <mergeCell ref="AI48"/>
    <mergeCell ref="AJ48"/>
    <mergeCell ref="AK48"/>
    <mergeCell ref="AL48"/>
    <mergeCell ref="AM48"/>
    <mergeCell ref="AN48"/>
    <mergeCell ref="AO48"/>
    <mergeCell ref="AP48"/>
    <mergeCell ref="AQ48"/>
    <mergeCell ref="AR48"/>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9"/>
    <mergeCell ref="S49"/>
    <mergeCell ref="T49"/>
    <mergeCell ref="U49"/>
    <mergeCell ref="V49"/>
    <mergeCell ref="W49"/>
    <mergeCell ref="X49"/>
    <mergeCell ref="Y49"/>
    <mergeCell ref="Z49"/>
    <mergeCell ref="AA49"/>
    <mergeCell ref="AB49"/>
    <mergeCell ref="AC49"/>
    <mergeCell ref="AD49"/>
    <mergeCell ref="AE49"/>
    <mergeCell ref="AF49"/>
    <mergeCell ref="AG49"/>
    <mergeCell ref="AH49"/>
    <mergeCell ref="AI49"/>
    <mergeCell ref="AJ49"/>
    <mergeCell ref="AK49"/>
    <mergeCell ref="AL49"/>
    <mergeCell ref="AM49"/>
    <mergeCell ref="AN49"/>
    <mergeCell ref="AO49"/>
    <mergeCell ref="AP49"/>
    <mergeCell ref="AQ49"/>
    <mergeCell ref="AR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V50"/>
    <mergeCell ref="W50"/>
    <mergeCell ref="X50"/>
    <mergeCell ref="Y50"/>
    <mergeCell ref="Z50"/>
    <mergeCell ref="AA50"/>
    <mergeCell ref="AB50"/>
    <mergeCell ref="AC50"/>
    <mergeCell ref="AD50"/>
    <mergeCell ref="AE50"/>
    <mergeCell ref="AF50"/>
    <mergeCell ref="AG50"/>
    <mergeCell ref="AH50"/>
    <mergeCell ref="AI50"/>
    <mergeCell ref="AJ50"/>
    <mergeCell ref="AK50"/>
    <mergeCell ref="AL50"/>
    <mergeCell ref="AM50"/>
    <mergeCell ref="AN50"/>
    <mergeCell ref="AO50"/>
    <mergeCell ref="AP50"/>
    <mergeCell ref="AQ50"/>
    <mergeCell ref="AR50"/>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51"/>
    <mergeCell ref="S51"/>
    <mergeCell ref="T51"/>
    <mergeCell ref="U51"/>
    <mergeCell ref="V51"/>
    <mergeCell ref="W51"/>
    <mergeCell ref="X51"/>
    <mergeCell ref="Y51"/>
    <mergeCell ref="Z51"/>
    <mergeCell ref="AA51"/>
    <mergeCell ref="AB51"/>
    <mergeCell ref="AC51"/>
    <mergeCell ref="AD51"/>
    <mergeCell ref="AE51"/>
    <mergeCell ref="AF51"/>
    <mergeCell ref="AG51"/>
    <mergeCell ref="AH51"/>
    <mergeCell ref="AI51"/>
    <mergeCell ref="AJ51"/>
    <mergeCell ref="AK51"/>
    <mergeCell ref="AL51"/>
    <mergeCell ref="AM51"/>
    <mergeCell ref="AN51"/>
    <mergeCell ref="AO51"/>
    <mergeCell ref="AP51"/>
    <mergeCell ref="AQ51"/>
    <mergeCell ref="AR51"/>
  </mergeCells>
  <phoneticPr fontId="22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304" t="str">
        <f>项目基本情况!B1</f>
        <v>出让国有建设用地使用权预评估</v>
      </c>
      <c r="C37" s="3304"/>
      <c r="D37" s="3304"/>
      <c r="E37" s="3304"/>
      <c r="F37" s="3304"/>
      <c r="G37" s="3304"/>
      <c r="H37" s="3304"/>
      <c r="I37" s="3304"/>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王鹏、郑燚</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45" sqref="I45"/>
    </sheetView>
  </sheetViews>
  <sheetFormatPr defaultRowHeight="13.5"/>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H30" sqref="H30"/>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97"/>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31" s="1898" customFormat="1" ht="18" customHeight="1">
      <c r="A2" s="1957" t="s">
        <v>461</v>
      </c>
      <c r="B2" s="1961">
        <f ca="1">C36</f>
        <v>34644</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3317</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9950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663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516" t="s">
        <v>1822</v>
      </c>
      <c r="B6" s="2517"/>
      <c r="C6" s="2518">
        <f>SUM(C10:K10)</f>
        <v>93052</v>
      </c>
      <c r="D6" s="2517"/>
      <c r="E6" s="2517"/>
      <c r="F6" s="2517"/>
      <c r="G6" s="2517"/>
      <c r="H6" s="2517"/>
      <c r="I6" s="2517"/>
      <c r="J6" s="2517"/>
      <c r="K6" s="2519"/>
      <c r="L6" s="3165"/>
      <c r="M6" s="3165"/>
      <c r="N6" s="3165"/>
      <c r="O6" s="3165"/>
      <c r="P6" s="3165"/>
      <c r="Q6" s="3165"/>
      <c r="R6" s="3165"/>
      <c r="S6" s="3165"/>
      <c r="T6" s="3165"/>
      <c r="U6" s="3165"/>
      <c r="V6" s="3165"/>
      <c r="W6" s="3165"/>
      <c r="X6" s="3165"/>
      <c r="Y6" s="3165"/>
      <c r="Z6" s="3165"/>
    </row>
    <row r="7" spans="1:31" s="1969" customFormat="1" ht="15">
      <c r="A7" s="2520" t="s">
        <v>464</v>
      </c>
      <c r="B7" s="2521" t="s">
        <v>465</v>
      </c>
      <c r="C7" s="430" t="s">
        <v>903</v>
      </c>
      <c r="D7" s="430" t="s">
        <v>2987</v>
      </c>
      <c r="E7" s="430"/>
      <c r="F7" s="430"/>
      <c r="G7" s="430"/>
      <c r="H7" s="430"/>
      <c r="I7" s="430"/>
      <c r="J7" s="430"/>
      <c r="K7" s="431"/>
      <c r="AA7" s="1968"/>
      <c r="AB7" s="1968"/>
      <c r="AC7" s="1968"/>
      <c r="AD7" s="1968"/>
      <c r="AE7" s="1968"/>
    </row>
    <row r="8" spans="1:31" s="1971" customFormat="1" ht="13.5" customHeight="1">
      <c r="A8" s="776" t="s">
        <v>1825</v>
      </c>
      <c r="B8" s="259" t="s">
        <v>466</v>
      </c>
      <c r="C8" s="2522">
        <v>9000</v>
      </c>
      <c r="D8" s="2522">
        <f>C8</f>
        <v>9000</v>
      </c>
      <c r="E8" s="2522"/>
      <c r="F8" s="2522"/>
      <c r="G8" s="2522"/>
      <c r="H8" s="2522"/>
      <c r="I8" s="2522"/>
      <c r="J8" s="2522"/>
      <c r="K8" s="2523"/>
      <c r="AA8" s="1970"/>
      <c r="AB8" s="1970"/>
      <c r="AC8" s="1970"/>
      <c r="AD8" s="1970"/>
      <c r="AE8" s="1970"/>
    </row>
    <row r="9" spans="1:31" s="1971" customFormat="1" ht="13.5" customHeight="1">
      <c r="A9" s="776" t="s">
        <v>1826</v>
      </c>
      <c r="B9" s="259" t="s">
        <v>467</v>
      </c>
      <c r="C9" s="435">
        <f>SUMIF('数据-汇总表'!$C19:$C33,'剩余法-待开发'!C7,'数据-汇总表'!$E19:$E33)</f>
        <v>98168.48</v>
      </c>
      <c r="D9" s="435">
        <f>SUMIF('数据-汇总表'!$C19:$C33,'剩余法-待开发'!D7,'数据-汇总表'!$E19:$E33)</f>
        <v>5222.7</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524" t="s">
        <v>1827</v>
      </c>
      <c r="B10" s="2510" t="s">
        <v>468</v>
      </c>
      <c r="C10" s="2712">
        <f>ROUND(C8*C9/10000,0)</f>
        <v>88352</v>
      </c>
      <c r="D10" s="2712">
        <f>ROUND(D8*D9/10000,0)</f>
        <v>4700</v>
      </c>
      <c r="E10" s="2712"/>
      <c r="F10" s="2525"/>
      <c r="G10" s="2525"/>
      <c r="H10" s="2525"/>
      <c r="I10" s="2525"/>
      <c r="J10" s="2525"/>
      <c r="K10" s="2526"/>
      <c r="AA10" s="1970"/>
      <c r="AB10" s="1970"/>
      <c r="AC10" s="1970"/>
      <c r="AD10" s="1970"/>
      <c r="AE10" s="1970"/>
    </row>
    <row r="11" spans="1:31" s="1967" customFormat="1" ht="16.5" customHeight="1">
      <c r="A11" s="2527" t="s">
        <v>1823</v>
      </c>
      <c r="B11" s="2517"/>
      <c r="C11" s="2517"/>
      <c r="D11" s="2517"/>
      <c r="E11" s="2517"/>
      <c r="F11" s="2517"/>
      <c r="G11" s="2517"/>
      <c r="H11" s="2517"/>
      <c r="I11" s="2517"/>
      <c r="J11" s="2517"/>
      <c r="K11" s="2519"/>
      <c r="L11" s="3165"/>
      <c r="M11" s="3165"/>
      <c r="N11" s="3165"/>
      <c r="O11" s="3165"/>
      <c r="P11" s="3165"/>
      <c r="Q11" s="3165"/>
      <c r="R11" s="3165"/>
      <c r="S11" s="3165"/>
      <c r="T11" s="3165"/>
      <c r="U11" s="3165"/>
      <c r="V11" s="3165"/>
      <c r="W11" s="3165"/>
      <c r="X11" s="3165"/>
      <c r="Y11" s="3165"/>
      <c r="Z11" s="3165"/>
    </row>
    <row r="12" spans="1:31" s="1941" customFormat="1" ht="13.5" customHeight="1">
      <c r="A12" s="2528" t="s">
        <v>464</v>
      </c>
      <c r="B12" s="2500" t="s">
        <v>465</v>
      </c>
      <c r="C12" s="2529" t="s">
        <v>469</v>
      </c>
      <c r="D12" s="2496" t="s">
        <v>470</v>
      </c>
      <c r="E12" s="2496" t="s">
        <v>471</v>
      </c>
      <c r="F12" s="2496" t="s">
        <v>472</v>
      </c>
      <c r="G12" s="2500"/>
      <c r="H12" s="2501"/>
      <c r="I12" s="2501"/>
      <c r="J12" s="2501"/>
      <c r="K12" s="2502"/>
      <c r="L12" s="3166"/>
      <c r="M12" s="3166"/>
      <c r="N12" s="3166"/>
      <c r="O12" s="3166"/>
      <c r="P12" s="3166"/>
      <c r="Q12" s="3166"/>
      <c r="R12" s="3166"/>
      <c r="S12" s="3166"/>
      <c r="T12" s="3166"/>
      <c r="U12" s="3166"/>
      <c r="V12" s="3166"/>
      <c r="W12" s="3166"/>
      <c r="X12" s="3166"/>
      <c r="Y12" s="3166"/>
      <c r="Z12" s="3166"/>
    </row>
    <row r="13" spans="1:31" s="1972" customFormat="1" ht="13.5" customHeight="1">
      <c r="A13" s="2530" t="s">
        <v>1828</v>
      </c>
      <c r="B13" s="2531" t="s">
        <v>473</v>
      </c>
      <c r="C13" s="443">
        <f ca="1">IF(B1="",'数据-取费表'!P16,INDIRECT("'数据-取费表'!p"&amp;$K$1)+INDIRECT("'数据-取费表'!t"&amp;$K$1))</f>
        <v>29352</v>
      </c>
      <c r="D13" s="2532"/>
      <c r="E13" s="2533"/>
      <c r="F13" s="2534"/>
      <c r="G13" s="2500"/>
      <c r="H13" s="2501"/>
      <c r="I13" s="2501"/>
      <c r="J13" s="2501"/>
      <c r="K13" s="2502"/>
      <c r="L13" s="1973"/>
      <c r="M13" s="1973"/>
      <c r="N13" s="1973"/>
      <c r="O13" s="1973"/>
      <c r="P13" s="1973"/>
      <c r="Q13" s="1973"/>
      <c r="R13" s="1973"/>
      <c r="S13" s="1973"/>
      <c r="T13" s="1973"/>
      <c r="U13" s="1973"/>
      <c r="V13" s="1973"/>
      <c r="W13" s="1973"/>
      <c r="X13" s="1973"/>
      <c r="Y13" s="1973"/>
      <c r="Z13" s="1973"/>
    </row>
    <row r="14" spans="1:31" s="1972" customFormat="1" ht="13.5" customHeight="1">
      <c r="A14" s="2530" t="s">
        <v>1829</v>
      </c>
      <c r="B14" s="2531" t="s">
        <v>474</v>
      </c>
      <c r="C14" s="53">
        <f ca="1">ROUND(C13*F14,0)</f>
        <v>881</v>
      </c>
      <c r="D14" s="2532"/>
      <c r="E14" s="2533"/>
      <c r="F14" s="2535">
        <f>'数据-取费表'!B33</f>
        <v>0.03</v>
      </c>
      <c r="G14" s="2500" t="s">
        <v>475</v>
      </c>
      <c r="H14" s="2501"/>
      <c r="I14" s="2501"/>
      <c r="J14" s="2501"/>
      <c r="K14" s="2502"/>
      <c r="L14" s="1973"/>
      <c r="M14" s="1973"/>
      <c r="N14" s="1973"/>
      <c r="O14" s="1973"/>
      <c r="P14" s="1973"/>
      <c r="Q14" s="1973"/>
      <c r="R14" s="1973"/>
      <c r="S14" s="1973"/>
      <c r="T14" s="1973"/>
      <c r="U14" s="1973"/>
      <c r="V14" s="1973"/>
      <c r="W14" s="1973"/>
      <c r="X14" s="1973"/>
      <c r="Y14" s="1973"/>
      <c r="Z14" s="1973"/>
    </row>
    <row r="15" spans="1:31" s="1972" customFormat="1" ht="13.5" customHeight="1">
      <c r="A15" s="2530" t="s">
        <v>1830</v>
      </c>
      <c r="B15" s="2531" t="s">
        <v>476</v>
      </c>
      <c r="C15" s="53">
        <f ca="1">ROUND(IF(B1="",SUMIF('数据-取费表'!C:C,"住宅",'数据-取费表'!P:P)*F15,IF(INDIRECT("'数据-取费表'!c"&amp;$K$1)="住宅",INDIRECT("'数据-取费表'!P"&amp;$K$1)*F15,0)),0)</f>
        <v>1374</v>
      </c>
      <c r="D15" s="2532"/>
      <c r="E15" s="2533"/>
      <c r="F15" s="2535">
        <f>'数据-取费表'!B34</f>
        <v>0.05</v>
      </c>
      <c r="G15" s="2500" t="s">
        <v>477</v>
      </c>
      <c r="H15" s="2501"/>
      <c r="I15" s="2501"/>
      <c r="J15" s="2501"/>
      <c r="K15" s="2502"/>
      <c r="L15" s="1973"/>
      <c r="M15" s="1973"/>
      <c r="N15" s="1973"/>
      <c r="O15" s="1973"/>
      <c r="P15" s="1973"/>
      <c r="Q15" s="1973"/>
      <c r="R15" s="1973"/>
      <c r="S15" s="1973"/>
      <c r="T15" s="1973"/>
      <c r="U15" s="1973"/>
      <c r="V15" s="1973"/>
      <c r="W15" s="1973"/>
      <c r="X15" s="1973"/>
      <c r="Y15" s="1973"/>
      <c r="Z15" s="1973"/>
    </row>
    <row r="16" spans="1:31" s="1973" customFormat="1" ht="13.5" customHeight="1">
      <c r="A16" s="2530" t="s">
        <v>1831</v>
      </c>
      <c r="B16" s="2531" t="s">
        <v>478</v>
      </c>
      <c r="C16" s="53">
        <f ca="1">ROUND(D16*E16/10000,0)</f>
        <v>2089</v>
      </c>
      <c r="D16" s="2532">
        <f ca="1">IF(B1="",'数据-汇总表'!E3,INDIRECT("'数据-取费表'!K"&amp;$K$1)+INDIRECT("'数据-取费表'!S"&amp;$K$1))</f>
        <v>104454</v>
      </c>
      <c r="E16" s="53">
        <f>'数据-取费表'!B35</f>
        <v>200</v>
      </c>
      <c r="F16" s="2535"/>
      <c r="G16" s="2500"/>
      <c r="H16" s="2501"/>
      <c r="I16" s="2501"/>
      <c r="J16" s="2501"/>
      <c r="K16" s="2502"/>
      <c r="AA16" s="1972"/>
      <c r="AB16" s="1972"/>
      <c r="AC16" s="1972"/>
      <c r="AD16" s="1972"/>
      <c r="AE16" s="1972"/>
    </row>
    <row r="17" spans="1:26" s="1972" customFormat="1" ht="13.5" customHeight="1">
      <c r="A17" s="2530" t="s">
        <v>1832</v>
      </c>
      <c r="B17" s="2531" t="s">
        <v>479</v>
      </c>
      <c r="C17" s="2536">
        <f ca="1">ROUND(C13*F17,0)</f>
        <v>440</v>
      </c>
      <c r="D17" s="468"/>
      <c r="E17" s="2536"/>
      <c r="F17" s="2537">
        <f>'数据-取费表'!B36</f>
        <v>1.4999999999999999E-2</v>
      </c>
      <c r="G17" s="259" t="s">
        <v>480</v>
      </c>
      <c r="H17" s="2503"/>
      <c r="I17" s="2503"/>
      <c r="J17" s="2503"/>
      <c r="K17" s="277"/>
      <c r="L17" s="1973"/>
      <c r="M17" s="1973"/>
      <c r="N17" s="1973"/>
      <c r="O17" s="1973"/>
      <c r="P17" s="1973"/>
      <c r="Q17" s="1973"/>
      <c r="R17" s="1973"/>
      <c r="S17" s="1973"/>
      <c r="T17" s="1973"/>
      <c r="U17" s="1973"/>
      <c r="V17" s="1973"/>
      <c r="W17" s="1973"/>
      <c r="X17" s="1973"/>
      <c r="Y17" s="1973"/>
      <c r="Z17" s="1973"/>
    </row>
    <row r="18" spans="1:26" s="1972" customFormat="1" ht="13.5" customHeight="1">
      <c r="A18" s="2538" t="s">
        <v>1833</v>
      </c>
      <c r="B18" s="2539" t="s">
        <v>481</v>
      </c>
      <c r="C18" s="2540">
        <f ca="1">SUM(C13:C17)</f>
        <v>34136</v>
      </c>
      <c r="D18" s="2541"/>
      <c r="E18" s="461"/>
      <c r="F18" s="461"/>
      <c r="G18" s="2504" t="s">
        <v>2398</v>
      </c>
      <c r="H18" s="2505"/>
      <c r="I18" s="2505"/>
      <c r="J18" s="2505"/>
      <c r="K18" s="2506"/>
      <c r="L18" s="1973"/>
      <c r="M18" s="1973"/>
      <c r="N18" s="1973"/>
      <c r="O18" s="1973"/>
      <c r="P18" s="1973"/>
      <c r="Q18" s="1973"/>
      <c r="R18" s="1973"/>
      <c r="S18" s="1973"/>
      <c r="T18" s="1973"/>
      <c r="U18" s="1973"/>
      <c r="V18" s="1973"/>
      <c r="W18" s="1973"/>
      <c r="X18" s="1973"/>
      <c r="Y18" s="1973"/>
      <c r="Z18" s="1973"/>
    </row>
    <row r="19" spans="1:26" s="1972" customFormat="1" ht="13.5" customHeight="1">
      <c r="A19" s="2538" t="s">
        <v>1834</v>
      </c>
      <c r="B19" s="2539" t="s">
        <v>482</v>
      </c>
      <c r="C19" s="2496">
        <f ca="1">ROUND(D19*E19/10000,0)</f>
        <v>0</v>
      </c>
      <c r="D19" s="2542">
        <f ca="1">D16</f>
        <v>104454</v>
      </c>
      <c r="E19" s="2496">
        <f>'数据-取费表'!B32</f>
        <v>0</v>
      </c>
      <c r="F19" s="461"/>
      <c r="G19" s="2500" t="s">
        <v>483</v>
      </c>
      <c r="H19" s="2501"/>
      <c r="I19" s="2505"/>
      <c r="J19" s="2505"/>
      <c r="K19" s="2506"/>
      <c r="L19" s="1973"/>
      <c r="M19" s="1973"/>
      <c r="N19" s="1973"/>
      <c r="O19" s="1973"/>
      <c r="P19" s="1973"/>
      <c r="Q19" s="1973"/>
      <c r="R19" s="1973"/>
      <c r="S19" s="1973"/>
      <c r="T19" s="1973"/>
      <c r="U19" s="1973"/>
      <c r="V19" s="1973"/>
      <c r="W19" s="1973"/>
      <c r="X19" s="1973"/>
      <c r="Y19" s="1973"/>
      <c r="Z19" s="1973"/>
    </row>
    <row r="20" spans="1:26" s="1972" customFormat="1" ht="13.5" customHeight="1">
      <c r="A20" s="2538" t="s">
        <v>1835</v>
      </c>
      <c r="B20" s="2539" t="s">
        <v>484</v>
      </c>
      <c r="C20" s="2496">
        <f ca="1">C21+C22-IF(B1="",'数据-取费表'!B29,IF(G20="已全部缴纳",C21+C22,H20))</f>
        <v>941</v>
      </c>
      <c r="D20" s="2542"/>
      <c r="E20" s="2496"/>
      <c r="F20" s="2543"/>
      <c r="G20" s="2744"/>
      <c r="H20" s="2498"/>
      <c r="I20" s="2499" t="s">
        <v>2610</v>
      </c>
      <c r="J20" s="2505"/>
      <c r="K20" s="2506"/>
      <c r="L20" s="1973"/>
      <c r="M20" s="1973"/>
      <c r="N20" s="1973"/>
      <c r="O20" s="1973"/>
      <c r="P20" s="1973"/>
      <c r="Q20" s="1973"/>
      <c r="R20" s="1973"/>
      <c r="S20" s="1973"/>
      <c r="T20" s="1973"/>
      <c r="U20" s="1973"/>
      <c r="V20" s="1973"/>
      <c r="W20" s="1973"/>
      <c r="X20" s="1973"/>
      <c r="Y20" s="1973"/>
      <c r="Z20" s="1973"/>
    </row>
    <row r="21" spans="1:26" s="1972" customFormat="1" ht="13.5" customHeight="1">
      <c r="A21" s="2530" t="s">
        <v>1836</v>
      </c>
      <c r="B21" s="2531" t="s">
        <v>485</v>
      </c>
      <c r="C21" s="53">
        <f ca="1">ROUND(D21*E21/10000,0)</f>
        <v>884</v>
      </c>
      <c r="D21" s="2532">
        <f ca="1">IF(B1="",'数据-汇总表'!E5,IF(INDIRECT("'数据-取费表'!c"&amp;$K$1)="住宅",INDIRECT("'数据-取费表'!k"&amp;$K$1),0))</f>
        <v>98168.48</v>
      </c>
      <c r="E21" s="53">
        <f>'数据-取费表'!B27</f>
        <v>90</v>
      </c>
      <c r="F21" s="2535"/>
      <c r="G21" s="26"/>
      <c r="H21" s="51"/>
      <c r="I21" s="51"/>
      <c r="J21" s="51"/>
      <c r="K21" s="2507"/>
      <c r="L21" s="1973"/>
      <c r="M21" s="1973"/>
      <c r="N21" s="1973"/>
      <c r="O21" s="1973"/>
      <c r="P21" s="1973"/>
      <c r="Q21" s="1973"/>
      <c r="R21" s="1973"/>
      <c r="S21" s="1973"/>
      <c r="T21" s="1973"/>
      <c r="U21" s="1973"/>
      <c r="V21" s="1973"/>
      <c r="W21" s="1973"/>
      <c r="X21" s="1973"/>
      <c r="Y21" s="1973"/>
      <c r="Z21" s="1973"/>
    </row>
    <row r="22" spans="1:26" s="1972" customFormat="1" ht="13.5" customHeight="1">
      <c r="A22" s="2530" t="s">
        <v>1837</v>
      </c>
      <c r="B22" s="2531" t="s">
        <v>486</v>
      </c>
      <c r="C22" s="53">
        <f ca="1">ROUND(D22*E22/10000,0)</f>
        <v>57</v>
      </c>
      <c r="D22" s="2532">
        <f ca="1">IF(B1="",'数据-汇总表'!E6,IF(INDIRECT("'数据-取费表'!c"&amp;$K$1)="住宅",INDIRECT("'数据-取费表'!s"&amp;$K$1),INDIRECT("'数据-取费表'!k"&amp;$K$1)+INDIRECT("'数据-取费表'!s"&amp;$K$1)))</f>
        <v>6285.5200000000041</v>
      </c>
      <c r="E22" s="53">
        <f>'数据-取费表'!B28</f>
        <v>90</v>
      </c>
      <c r="F22" s="2535"/>
      <c r="G22" s="26"/>
      <c r="H22" s="51"/>
      <c r="I22" s="51"/>
      <c r="J22" s="51"/>
      <c r="K22" s="2507"/>
      <c r="L22" s="1973"/>
      <c r="M22" s="1973"/>
      <c r="N22" s="1973"/>
      <c r="O22" s="1973"/>
      <c r="P22" s="1973"/>
      <c r="Q22" s="1973"/>
      <c r="R22" s="1973"/>
      <c r="S22" s="1973"/>
      <c r="T22" s="1973"/>
      <c r="U22" s="1973"/>
      <c r="V22" s="1973"/>
      <c r="W22" s="1973"/>
      <c r="X22" s="1973"/>
      <c r="Y22" s="1973"/>
      <c r="Z22" s="1973"/>
    </row>
    <row r="23" spans="1:26" s="1972" customFormat="1" ht="13.5" customHeight="1">
      <c r="A23" s="2538" t="s">
        <v>1838</v>
      </c>
      <c r="B23" s="2716" t="s">
        <v>2790</v>
      </c>
      <c r="C23" s="2540">
        <f ca="1">ROUND((C18+C19+C20)*F23,0)</f>
        <v>877</v>
      </c>
      <c r="D23" s="461"/>
      <c r="E23" s="461"/>
      <c r="F23" s="2544">
        <f>'数据-取费表'!B37</f>
        <v>2.5000000000000001E-2</v>
      </c>
      <c r="G23" s="2500" t="s">
        <v>2399</v>
      </c>
      <c r="H23" s="2501"/>
      <c r="I23" s="2501"/>
      <c r="J23" s="2501"/>
      <c r="K23" s="2502"/>
      <c r="L23" s="3167"/>
      <c r="M23" s="3167"/>
      <c r="N23" s="3167"/>
      <c r="O23" s="1973"/>
      <c r="P23" s="1973"/>
      <c r="Q23" s="1973"/>
      <c r="R23" s="1973"/>
      <c r="S23" s="1973"/>
      <c r="T23" s="1973"/>
      <c r="U23" s="1973"/>
      <c r="V23" s="1973"/>
      <c r="W23" s="1973"/>
      <c r="X23" s="1973"/>
      <c r="Y23" s="1973"/>
      <c r="Z23" s="1973"/>
    </row>
    <row r="24" spans="1:26" s="1972" customFormat="1" ht="13.5" customHeight="1">
      <c r="A24" s="2538" t="s">
        <v>1839</v>
      </c>
      <c r="B24" s="2716" t="s">
        <v>2793</v>
      </c>
      <c r="C24" s="2540">
        <f>ROUND(C6*F24,0)</f>
        <v>2792</v>
      </c>
      <c r="D24" s="468"/>
      <c r="E24" s="466"/>
      <c r="F24" s="2544">
        <f>'数据-取费表'!B38</f>
        <v>0.03</v>
      </c>
      <c r="G24" s="2509" t="s">
        <v>493</v>
      </c>
      <c r="H24" s="2503"/>
      <c r="I24" s="2503"/>
      <c r="J24" s="2503"/>
      <c r="K24" s="277"/>
      <c r="L24" s="3167"/>
      <c r="M24" s="3167"/>
      <c r="N24" s="3167"/>
      <c r="O24" s="1973"/>
      <c r="P24" s="1973"/>
      <c r="Q24" s="1973"/>
      <c r="R24" s="1973"/>
      <c r="S24" s="1973"/>
      <c r="T24" s="1973"/>
      <c r="U24" s="1973"/>
      <c r="V24" s="1973"/>
      <c r="W24" s="1973"/>
      <c r="X24" s="1973"/>
      <c r="Y24" s="1973"/>
      <c r="Z24" s="1973"/>
    </row>
    <row r="25" spans="1:26" s="1975" customFormat="1" ht="13.5" customHeight="1">
      <c r="A25" s="2538" t="s">
        <v>1840</v>
      </c>
      <c r="B25" s="2716" t="s">
        <v>2791</v>
      </c>
      <c r="C25" s="460">
        <f>ROUND(F25/(1+'数据-取费表'!C42),4)</f>
        <v>2.9000000000000001E-2</v>
      </c>
      <c r="D25" s="455" t="s">
        <v>2786</v>
      </c>
      <c r="E25" s="462"/>
      <c r="F25" s="2544">
        <f>IF(项目基本情况!B8="出让",0,'数据-取费表'!B48+'数据-取费表'!B49)</f>
        <v>3.0499999999999999E-2</v>
      </c>
      <c r="G25" s="2508" t="s">
        <v>2262</v>
      </c>
      <c r="H25" s="2501"/>
      <c r="I25" s="2501"/>
      <c r="J25" s="2501"/>
      <c r="K25" s="2502"/>
      <c r="L25" s="3168"/>
      <c r="M25" s="3168"/>
      <c r="N25" s="3168"/>
      <c r="O25" s="3168"/>
      <c r="P25" s="3168"/>
      <c r="Q25" s="3168"/>
      <c r="R25" s="3168"/>
      <c r="S25" s="3168"/>
      <c r="T25" s="3168"/>
      <c r="U25" s="3168"/>
      <c r="V25" s="3168"/>
      <c r="W25" s="3168"/>
      <c r="X25" s="3168"/>
      <c r="Y25" s="3168"/>
      <c r="Z25" s="3168"/>
    </row>
    <row r="26" spans="1:26" s="1974" customFormat="1" ht="13.5" customHeight="1">
      <c r="A26" s="2538" t="s">
        <v>1841</v>
      </c>
      <c r="B26" s="2717" t="s">
        <v>2792</v>
      </c>
      <c r="C26" s="2545">
        <f ca="1">C28</f>
        <v>1685</v>
      </c>
      <c r="D26" s="460">
        <f ca="1">C27</f>
        <v>9.1499999999999998E-2</v>
      </c>
      <c r="E26" s="462" t="s">
        <v>489</v>
      </c>
      <c r="F26" s="464">
        <f ca="1">'数据-取费表'!B40</f>
        <v>4.3499999999999997E-2</v>
      </c>
      <c r="G26" s="2395" t="str">
        <f>IF('数据-取费表'!B22&lt;=1,"单利计息。","复利计息。")&amp;"后续开发成本、管理费用及销售费用产生的利息。"</f>
        <v>复利计息。后续开发成本、管理费用及销售费用产生的利息。</v>
      </c>
      <c r="H26" s="2505"/>
      <c r="I26" s="2505"/>
      <c r="J26" s="2505"/>
      <c r="K26" s="2506"/>
      <c r="L26" s="3167"/>
      <c r="M26" s="3167"/>
      <c r="N26" s="3167"/>
      <c r="O26" s="3167"/>
      <c r="P26" s="3167"/>
      <c r="Q26" s="3167"/>
      <c r="R26" s="3167"/>
      <c r="S26" s="3167"/>
      <c r="T26" s="3167"/>
      <c r="U26" s="3167"/>
      <c r="V26" s="3167"/>
      <c r="W26" s="3167"/>
      <c r="X26" s="3167"/>
      <c r="Y26" s="3167"/>
      <c r="Z26" s="3167"/>
    </row>
    <row r="27" spans="1:26" s="1976" customFormat="1" ht="13.5" customHeight="1">
      <c r="A27" s="776" t="s">
        <v>1836</v>
      </c>
      <c r="B27" s="2546" t="s">
        <v>490</v>
      </c>
      <c r="C27" s="2547">
        <f ca="1">ROUND(IF('数据-取费表'!B22&lt;=1,(1+C25)*F26*'数据-取费表'!B24,(1+C25)*(POWER((1+F26),'数据-取费表'!B24)-1)),4)</f>
        <v>9.1499999999999998E-2</v>
      </c>
      <c r="D27" s="465"/>
      <c r="E27" s="466"/>
      <c r="F27" s="467"/>
      <c r="G27" s="2395" t="str">
        <f>IF('数据-取费表'!B22&lt;=1,"（1+取得税费率/(1+5%)）×年利率×建设期","（1+取得税费率）/(1+5%)×((1+年利率)^建设期-1)")</f>
        <v>（1+取得税费率）/(1+5%)×((1+年利率)^建设期-1)</v>
      </c>
      <c r="H27" s="2503"/>
      <c r="I27" s="2503"/>
      <c r="J27" s="2503"/>
      <c r="K27" s="277"/>
      <c r="L27" s="3169"/>
      <c r="M27" s="3169"/>
      <c r="N27" s="3169"/>
      <c r="O27" s="3169"/>
      <c r="P27" s="3169"/>
      <c r="Q27" s="3169"/>
      <c r="R27" s="3169"/>
      <c r="S27" s="3169"/>
      <c r="T27" s="3169"/>
      <c r="U27" s="3169"/>
      <c r="V27" s="3169"/>
      <c r="W27" s="3169"/>
      <c r="X27" s="3169"/>
      <c r="Y27" s="3169"/>
      <c r="Z27" s="3169"/>
    </row>
    <row r="28" spans="1:26" s="1976" customFormat="1" ht="13.5" customHeight="1">
      <c r="A28" s="776" t="s">
        <v>1837</v>
      </c>
      <c r="B28" s="2546" t="s">
        <v>2794</v>
      </c>
      <c r="C28" s="2548">
        <f ca="1">ROUND(IF('数据-取费表'!B22&lt;=1,(C18+C19+C20+C23+C24)*F26*'数据-取费表'!B24/2,(C18+C19+C20+C23+C24)*(POWER((1+F26),'数据-取费表'!B24/2)-1)),0)</f>
        <v>1685</v>
      </c>
      <c r="D28" s="465"/>
      <c r="E28" s="466"/>
      <c r="F28" s="467"/>
      <c r="G28" s="2395" t="str">
        <f>IF('数据-取费表'!B22&lt;=1,"（1）-（4）项×年利率×建设期÷2","（1）-（4）项×((1+年利率)^(建设期÷2)-1)")</f>
        <v>（1）-（4）项×((1+年利率)^(建设期÷2)-1)</v>
      </c>
      <c r="H28" s="2503"/>
      <c r="I28" s="2503"/>
      <c r="J28" s="2503"/>
      <c r="K28" s="277"/>
      <c r="L28" s="3169"/>
      <c r="M28" s="3169"/>
      <c r="N28" s="3169"/>
      <c r="O28" s="3169"/>
      <c r="P28" s="3169"/>
      <c r="Q28" s="3169"/>
      <c r="R28" s="3169"/>
      <c r="S28" s="3169"/>
      <c r="T28" s="3169"/>
      <c r="U28" s="3169"/>
      <c r="V28" s="3169"/>
      <c r="W28" s="3169"/>
      <c r="X28" s="3169"/>
      <c r="Y28" s="3169"/>
      <c r="Z28" s="3169"/>
    </row>
    <row r="29" spans="1:26" s="1976" customFormat="1" ht="13.5" customHeight="1">
      <c r="A29" s="2549" t="s">
        <v>1842</v>
      </c>
      <c r="B29" s="2539" t="s">
        <v>491</v>
      </c>
      <c r="C29" s="2540">
        <f>ROUND(C6*F29/(1+'数据-取费表'!C42),0)</f>
        <v>4874</v>
      </c>
      <c r="D29" s="461"/>
      <c r="E29" s="461"/>
      <c r="F29" s="2718">
        <f>'数据-取费表'!B41</f>
        <v>5.5000000000000007E-2</v>
      </c>
      <c r="G29" s="2509" t="s">
        <v>492</v>
      </c>
      <c r="H29" s="2501"/>
      <c r="I29" s="2501"/>
      <c r="J29" s="2501"/>
      <c r="K29" s="2502"/>
      <c r="L29" s="3169"/>
      <c r="M29" s="3169"/>
      <c r="N29" s="3169"/>
      <c r="O29" s="3169"/>
      <c r="P29" s="3169"/>
      <c r="Q29" s="3169"/>
      <c r="R29" s="3169"/>
      <c r="S29" s="3169"/>
      <c r="T29" s="3169"/>
      <c r="U29" s="3169"/>
      <c r="V29" s="3169"/>
      <c r="W29" s="3169"/>
      <c r="X29" s="3169"/>
      <c r="Y29" s="3169"/>
      <c r="Z29" s="3169"/>
    </row>
    <row r="30" spans="1:26" s="1977" customFormat="1" ht="13.5" customHeight="1">
      <c r="A30" s="1539" t="s">
        <v>1843</v>
      </c>
      <c r="B30" s="2550" t="s">
        <v>494</v>
      </c>
      <c r="C30" s="2545">
        <f ca="1">C31</f>
        <v>45305</v>
      </c>
      <c r="D30" s="470">
        <f ca="1">C32</f>
        <v>0.1205</v>
      </c>
      <c r="E30" s="462" t="s">
        <v>489</v>
      </c>
      <c r="F30" s="464"/>
      <c r="G30" s="2508" t="s">
        <v>2912</v>
      </c>
      <c r="H30" s="2501"/>
      <c r="I30" s="2501"/>
      <c r="J30" s="2501"/>
      <c r="K30" s="2502"/>
      <c r="L30" s="3170"/>
      <c r="M30" s="3170"/>
      <c r="N30" s="3170"/>
      <c r="O30" s="3170"/>
      <c r="P30" s="3170"/>
      <c r="Q30" s="3170"/>
      <c r="R30" s="3170"/>
      <c r="S30" s="3170"/>
      <c r="T30" s="3170"/>
      <c r="U30" s="3170"/>
      <c r="V30" s="3170"/>
      <c r="W30" s="3170"/>
      <c r="X30" s="3170"/>
      <c r="Y30" s="3170"/>
      <c r="Z30" s="3170"/>
    </row>
    <row r="31" spans="1:26" s="1976" customFormat="1" ht="13.5" customHeight="1">
      <c r="A31" s="776" t="s">
        <v>1836</v>
      </c>
      <c r="B31" s="2546"/>
      <c r="C31" s="443">
        <f ca="1">C18+C19+C20+C23+C24+C26+C29</f>
        <v>45305</v>
      </c>
      <c r="D31" s="465"/>
      <c r="E31" s="466"/>
      <c r="F31" s="467"/>
      <c r="G31" s="259"/>
      <c r="H31" s="2503"/>
      <c r="I31" s="2503"/>
      <c r="J31" s="2503"/>
      <c r="K31" s="277"/>
      <c r="L31" s="3169"/>
      <c r="M31" s="3169"/>
      <c r="N31" s="3169"/>
      <c r="O31" s="3169"/>
      <c r="P31" s="3169"/>
      <c r="Q31" s="3169"/>
      <c r="R31" s="3169"/>
      <c r="S31" s="3169"/>
      <c r="T31" s="3169"/>
      <c r="U31" s="3169"/>
      <c r="V31" s="3169"/>
      <c r="W31" s="3169"/>
      <c r="X31" s="3169"/>
      <c r="Y31" s="3169"/>
      <c r="Z31" s="3169"/>
    </row>
    <row r="32" spans="1:26" s="1976" customFormat="1" ht="13.5" customHeight="1">
      <c r="A32" s="776" t="s">
        <v>1837</v>
      </c>
      <c r="B32" s="2546"/>
      <c r="C32" s="53">
        <f ca="1">ROUND(C25+D26,4)</f>
        <v>0.1205</v>
      </c>
      <c r="D32" s="465"/>
      <c r="E32" s="466"/>
      <c r="F32" s="467"/>
      <c r="G32" s="259"/>
      <c r="H32" s="2503"/>
      <c r="I32" s="2503"/>
      <c r="J32" s="2503"/>
      <c r="K32" s="277"/>
      <c r="L32" s="3169"/>
      <c r="M32" s="3169"/>
      <c r="N32" s="3169"/>
      <c r="O32" s="3169"/>
      <c r="P32" s="3169"/>
      <c r="Q32" s="3169"/>
      <c r="R32" s="3169"/>
      <c r="S32" s="3169"/>
      <c r="T32" s="3169"/>
      <c r="U32" s="3169"/>
      <c r="V32" s="3169"/>
      <c r="W32" s="3169"/>
      <c r="X32" s="3169"/>
      <c r="Y32" s="3169"/>
      <c r="Z32" s="3169"/>
    </row>
    <row r="33" spans="1:26" s="1978" customFormat="1" ht="13.5" customHeight="1">
      <c r="A33" s="2715" t="s">
        <v>2789</v>
      </c>
      <c r="B33" s="2713" t="s">
        <v>2787</v>
      </c>
      <c r="C33" s="471">
        <f ca="1">C35</f>
        <v>4650</v>
      </c>
      <c r="D33" s="460">
        <f ca="1">C34</f>
        <v>0.1235</v>
      </c>
      <c r="E33" s="462" t="s">
        <v>489</v>
      </c>
      <c r="F33" s="472">
        <f ca="1">IF(B1="",'数据-取费表'!Q16,INDIRECT("'数据-取费表'!q"&amp;$K$1))</f>
        <v>0.12</v>
      </c>
      <c r="G33" s="2504"/>
      <c r="H33" s="2505"/>
      <c r="I33" s="2505"/>
      <c r="J33" s="2505"/>
      <c r="K33" s="2506"/>
      <c r="L33" s="3171"/>
      <c r="M33" s="3171"/>
      <c r="N33" s="3171"/>
      <c r="O33" s="3171"/>
      <c r="P33" s="3171"/>
      <c r="Q33" s="3171"/>
      <c r="R33" s="3171"/>
      <c r="S33" s="3171"/>
      <c r="T33" s="3171"/>
      <c r="U33" s="3171"/>
      <c r="V33" s="3171"/>
      <c r="W33" s="3171"/>
      <c r="X33" s="3171"/>
      <c r="Y33" s="3171"/>
      <c r="Z33" s="3171"/>
    </row>
    <row r="34" spans="1:26" s="1979" customFormat="1" ht="13.5" customHeight="1">
      <c r="A34" s="369" t="s">
        <v>1836</v>
      </c>
      <c r="B34" s="2551" t="s">
        <v>495</v>
      </c>
      <c r="C34" s="465">
        <f ca="1">ROUND((1+C25)*F33,4)</f>
        <v>0.1235</v>
      </c>
      <c r="D34" s="465"/>
      <c r="E34" s="466"/>
      <c r="F34" s="473"/>
      <c r="G34" s="259" t="s">
        <v>2263</v>
      </c>
      <c r="H34" s="2503"/>
      <c r="I34" s="2503"/>
      <c r="J34" s="2503"/>
      <c r="K34" s="277"/>
      <c r="L34" s="3172"/>
      <c r="M34" s="3172"/>
      <c r="N34" s="3172"/>
      <c r="O34" s="3172"/>
      <c r="P34" s="3172"/>
      <c r="Q34" s="3172"/>
      <c r="R34" s="3172"/>
      <c r="S34" s="3172"/>
      <c r="T34" s="3172"/>
      <c r="U34" s="3172"/>
      <c r="V34" s="3172"/>
      <c r="W34" s="3172"/>
      <c r="X34" s="3172"/>
      <c r="Y34" s="3172"/>
      <c r="Z34" s="3172"/>
    </row>
    <row r="35" spans="1:26" s="1979" customFormat="1" ht="13.5" customHeight="1" thickBot="1">
      <c r="A35" s="1540" t="s">
        <v>1837</v>
      </c>
      <c r="B35" s="2714" t="s">
        <v>2795</v>
      </c>
      <c r="C35" s="1532">
        <f ca="1">ROUND((C18+C19+C20+C23+C24)*F33,0)</f>
        <v>4650</v>
      </c>
      <c r="D35" s="1533"/>
      <c r="E35" s="2552"/>
      <c r="F35" s="1534"/>
      <c r="G35" s="2510"/>
      <c r="H35" s="2511"/>
      <c r="I35" s="2511"/>
      <c r="J35" s="2511"/>
      <c r="K35" s="2512"/>
      <c r="L35" s="3172"/>
      <c r="M35" s="3172"/>
      <c r="N35" s="3172"/>
      <c r="O35" s="3172"/>
      <c r="P35" s="3172"/>
      <c r="Q35" s="3172"/>
      <c r="R35" s="3172"/>
      <c r="S35" s="3172"/>
      <c r="T35" s="3172"/>
      <c r="U35" s="3172"/>
      <c r="V35" s="3172"/>
      <c r="W35" s="3172"/>
      <c r="X35" s="3172"/>
      <c r="Y35" s="3172"/>
      <c r="Z35" s="3172"/>
    </row>
    <row r="36" spans="1:26" s="1941" customFormat="1" ht="13.5" customHeight="1" thickBot="1">
      <c r="A36" s="282" t="s">
        <v>1824</v>
      </c>
      <c r="B36" s="2514"/>
      <c r="C36" s="2553">
        <f ca="1">ROUND((C6-C30-C33)/(1+D30+D33),0)</f>
        <v>34644</v>
      </c>
      <c r="D36" s="2514"/>
      <c r="E36" s="2514"/>
      <c r="F36" s="2514"/>
      <c r="G36" s="2513" t="s">
        <v>2796</v>
      </c>
      <c r="H36" s="2514"/>
      <c r="I36" s="2514"/>
      <c r="J36" s="2514"/>
      <c r="K36" s="2515"/>
      <c r="L36" s="3166"/>
      <c r="M36" s="3166"/>
      <c r="N36" s="3166"/>
      <c r="O36" s="3166"/>
      <c r="P36" s="3166"/>
      <c r="Q36" s="3166"/>
      <c r="R36" s="3166"/>
      <c r="S36" s="3166"/>
      <c r="T36" s="3166"/>
      <c r="U36" s="3166"/>
      <c r="V36" s="3166"/>
      <c r="W36" s="3166"/>
      <c r="X36" s="3166"/>
      <c r="Y36" s="3166"/>
      <c r="Z36" s="3166"/>
    </row>
    <row r="37" spans="1:26" s="1971" customFormat="1">
      <c r="A37" s="3173"/>
      <c r="C37" s="3174"/>
      <c r="E37" s="3173"/>
    </row>
    <row r="38" spans="1:26" s="1971" customFormat="1" ht="12.75" customHeight="1">
      <c r="A38" s="3173"/>
      <c r="C38" s="3174"/>
      <c r="E38" s="3173"/>
    </row>
    <row r="39" spans="1:26" s="1971" customFormat="1">
      <c r="A39" s="3173"/>
      <c r="C39" s="3174"/>
      <c r="E39" s="3173"/>
    </row>
    <row r="40" spans="1:26" s="1971" customFormat="1">
      <c r="A40" s="3173"/>
      <c r="C40" s="3174"/>
      <c r="E40" s="3173"/>
    </row>
    <row r="41" spans="1:26" s="1971" customFormat="1">
      <c r="A41" s="3173"/>
      <c r="C41" s="3174"/>
      <c r="E41" s="3173"/>
    </row>
    <row r="42" spans="1:26" s="1971" customFormat="1">
      <c r="A42" s="3173"/>
      <c r="C42" s="3174"/>
      <c r="E42" s="3173"/>
    </row>
    <row r="43" spans="1:26" s="1971" customFormat="1">
      <c r="A43" s="3173"/>
      <c r="C43" s="3174"/>
      <c r="E43" s="3173"/>
    </row>
    <row r="44" spans="1:26" s="1971" customFormat="1">
      <c r="A44" s="3173"/>
      <c r="C44" s="3174"/>
      <c r="E44" s="3173"/>
    </row>
    <row r="45" spans="1:26" s="1971" customFormat="1">
      <c r="A45" s="3173"/>
      <c r="C45" s="3174"/>
      <c r="E45" s="3173"/>
    </row>
    <row r="46" spans="1:26" s="1971" customFormat="1">
      <c r="A46" s="3173"/>
      <c r="C46" s="3174"/>
      <c r="E46" s="3173"/>
    </row>
    <row r="47" spans="1:26" s="1971" customFormat="1">
      <c r="A47" s="3173"/>
      <c r="C47" s="3174"/>
      <c r="E47" s="3173"/>
    </row>
    <row r="48" spans="1:26"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row r="212" spans="1:5" s="1971" customFormat="1">
      <c r="A212" s="3173"/>
      <c r="C212" s="3174"/>
      <c r="E212" s="3173"/>
    </row>
    <row r="213" spans="1:5" s="1971" customFormat="1">
      <c r="A213" s="3173"/>
      <c r="C213" s="3174"/>
      <c r="E213" s="3173"/>
    </row>
    <row r="214" spans="1:5" s="1971" customFormat="1">
      <c r="A214" s="3173"/>
      <c r="C214" s="3174"/>
      <c r="E214" s="3173"/>
    </row>
    <row r="215" spans="1:5" s="1971" customFormat="1">
      <c r="A215" s="3173"/>
      <c r="C215" s="3174"/>
      <c r="E215" s="3173"/>
    </row>
    <row r="216" spans="1:5" s="1971" customFormat="1">
      <c r="A216" s="3173"/>
      <c r="C216" s="3174"/>
      <c r="E216" s="3173"/>
    </row>
    <row r="217" spans="1:5" s="1971" customFormat="1">
      <c r="A217" s="3173"/>
      <c r="C217" s="3174"/>
      <c r="E217" s="3173"/>
    </row>
    <row r="218" spans="1:5" s="1971" customFormat="1">
      <c r="A218" s="3173"/>
      <c r="C218" s="3174"/>
      <c r="E218" s="3173"/>
    </row>
    <row r="219" spans="1:5" s="1971" customFormat="1">
      <c r="A219" s="3173"/>
      <c r="C219" s="3174"/>
      <c r="E219" s="3173"/>
    </row>
    <row r="220" spans="1:5" s="1971" customFormat="1">
      <c r="A220" s="3173"/>
      <c r="C220" s="3174"/>
      <c r="E220" s="3173"/>
    </row>
    <row r="221" spans="1:5" s="1971" customFormat="1">
      <c r="A221" s="3173"/>
      <c r="C221" s="3174"/>
      <c r="E221" s="3173"/>
    </row>
    <row r="222" spans="1:5" s="1971" customFormat="1">
      <c r="A222" s="3173"/>
      <c r="C222" s="3174"/>
      <c r="E222" s="3173"/>
    </row>
    <row r="223" spans="1:5" s="1971" customFormat="1">
      <c r="A223" s="3173"/>
      <c r="C223" s="3174"/>
      <c r="E223" s="3173"/>
    </row>
    <row r="224" spans="1:5" s="1971" customFormat="1">
      <c r="A224" s="3173"/>
      <c r="C224" s="3174"/>
      <c r="E224" s="3173"/>
    </row>
    <row r="225" spans="1:5" s="1971" customFormat="1">
      <c r="A225" s="3173"/>
      <c r="C225" s="3174"/>
      <c r="E225" s="3173"/>
    </row>
    <row r="226" spans="1:5" s="1971" customFormat="1">
      <c r="A226" s="3173"/>
      <c r="C226" s="3174"/>
      <c r="E226" s="3173"/>
    </row>
    <row r="227" spans="1:5" s="1971" customFormat="1">
      <c r="A227" s="3173"/>
      <c r="C227" s="3174"/>
      <c r="E227" s="3173"/>
    </row>
    <row r="228" spans="1:5" s="1971" customFormat="1">
      <c r="A228" s="3173"/>
      <c r="C228" s="3174"/>
      <c r="E228" s="3173"/>
    </row>
    <row r="229" spans="1:5" s="1971" customFormat="1">
      <c r="A229" s="3173"/>
      <c r="C229" s="3174"/>
      <c r="E229" s="3173"/>
    </row>
    <row r="230" spans="1:5" s="1971" customFormat="1">
      <c r="A230" s="3173"/>
      <c r="C230" s="3174"/>
      <c r="E230" s="3173"/>
    </row>
    <row r="231" spans="1:5" s="1971" customFormat="1">
      <c r="A231" s="3173"/>
      <c r="C231" s="3174"/>
      <c r="E231" s="3173"/>
    </row>
    <row r="232" spans="1:5" s="1971" customFormat="1">
      <c r="A232" s="3173"/>
      <c r="C232" s="3174"/>
      <c r="E232" s="3173"/>
    </row>
    <row r="233" spans="1:5" s="1971" customFormat="1">
      <c r="A233" s="3173"/>
      <c r="C233" s="3174"/>
      <c r="E233" s="3173"/>
    </row>
    <row r="234" spans="1:5" s="1971" customFormat="1">
      <c r="A234" s="3173"/>
      <c r="C234" s="3174"/>
      <c r="E234" s="3173"/>
    </row>
    <row r="235" spans="1:5" s="1971" customFormat="1">
      <c r="A235" s="3173"/>
      <c r="C235" s="3174"/>
      <c r="E235" s="3173"/>
    </row>
    <row r="236" spans="1:5" s="1971" customFormat="1">
      <c r="A236" s="3173"/>
      <c r="C236" s="3174"/>
      <c r="E236" s="3173"/>
    </row>
    <row r="237" spans="1:5" s="1971" customFormat="1">
      <c r="A237" s="3173"/>
      <c r="C237" s="3174"/>
      <c r="E237" s="3173"/>
    </row>
    <row r="238" spans="1:5" s="1971" customFormat="1">
      <c r="A238" s="3173"/>
      <c r="C238" s="3174"/>
      <c r="E238" s="3173"/>
    </row>
    <row r="239" spans="1:5" s="1971" customFormat="1">
      <c r="A239" s="3173"/>
      <c r="C239" s="3174"/>
      <c r="E239" s="3173"/>
    </row>
    <row r="240" spans="1:5" s="1971" customFormat="1">
      <c r="A240" s="3173"/>
      <c r="C240" s="3174"/>
      <c r="E240" s="3173"/>
    </row>
    <row r="241" spans="1:5" s="1971" customFormat="1">
      <c r="A241" s="3173"/>
      <c r="C241" s="3174"/>
      <c r="E241" s="3173"/>
    </row>
    <row r="242" spans="1:5" s="1971" customFormat="1">
      <c r="A242" s="3173"/>
      <c r="C242" s="3174"/>
      <c r="E242" s="3173"/>
    </row>
    <row r="243" spans="1:5" s="1971" customFormat="1">
      <c r="A243" s="3173"/>
      <c r="C243" s="3174"/>
      <c r="E243" s="3173"/>
    </row>
    <row r="244" spans="1:5" s="1971" customFormat="1">
      <c r="A244" s="3173"/>
      <c r="C244" s="3174"/>
      <c r="E244" s="3173"/>
    </row>
    <row r="245" spans="1:5" s="1971" customFormat="1">
      <c r="A245" s="3173"/>
      <c r="C245" s="3174"/>
      <c r="E245" s="3173"/>
    </row>
    <row r="246" spans="1:5" s="1971" customFormat="1">
      <c r="A246" s="3173"/>
      <c r="C246" s="3174"/>
      <c r="E246" s="3173"/>
    </row>
    <row r="247" spans="1:5" s="1971" customFormat="1">
      <c r="A247" s="3173"/>
      <c r="C247" s="3174"/>
      <c r="E247" s="3173"/>
    </row>
    <row r="248" spans="1:5" s="1971" customFormat="1">
      <c r="A248" s="3173"/>
      <c r="C248" s="3174"/>
      <c r="E248" s="3173"/>
    </row>
    <row r="249" spans="1:5" s="1971" customFormat="1">
      <c r="A249" s="3173"/>
      <c r="C249" s="3174"/>
      <c r="E249" s="3173"/>
    </row>
    <row r="250" spans="1:5" s="1971" customFormat="1">
      <c r="A250" s="3173"/>
      <c r="C250" s="3174"/>
      <c r="E250" s="3173"/>
    </row>
    <row r="251" spans="1:5" s="1971" customFormat="1">
      <c r="A251" s="3173"/>
      <c r="C251" s="3174"/>
      <c r="E251" s="3173"/>
    </row>
    <row r="252" spans="1:5" s="1971" customFormat="1">
      <c r="A252" s="3173"/>
      <c r="C252" s="3174"/>
      <c r="E252" s="3173"/>
    </row>
    <row r="253" spans="1:5" s="1971" customFormat="1">
      <c r="A253" s="3173"/>
      <c r="C253" s="3174"/>
      <c r="E253" s="3173"/>
    </row>
    <row r="254" spans="1:5" s="1971" customFormat="1">
      <c r="A254" s="3173"/>
      <c r="C254" s="3174"/>
      <c r="E254" s="3173"/>
    </row>
    <row r="255" spans="1:5" s="1971" customFormat="1">
      <c r="A255" s="3173"/>
      <c r="C255" s="3174"/>
      <c r="E255" s="3173"/>
    </row>
    <row r="256" spans="1:5" s="1971" customFormat="1">
      <c r="A256" s="3173"/>
      <c r="C256" s="3174"/>
      <c r="E256" s="3173"/>
    </row>
    <row r="257" spans="1:5" s="1971" customFormat="1">
      <c r="A257" s="3173"/>
      <c r="C257" s="3174"/>
      <c r="E257" s="3173"/>
    </row>
    <row r="258" spans="1:5" s="1971" customFormat="1">
      <c r="A258" s="3173"/>
      <c r="C258" s="3174"/>
      <c r="E258" s="3173"/>
    </row>
    <row r="259" spans="1:5" s="1971" customFormat="1">
      <c r="A259" s="3173"/>
      <c r="C259" s="3174"/>
      <c r="E259" s="3173"/>
    </row>
    <row r="260" spans="1:5" s="1971" customFormat="1">
      <c r="A260" s="3173"/>
      <c r="C260" s="3174"/>
      <c r="E260" s="3173"/>
    </row>
    <row r="261" spans="1:5" s="1971" customFormat="1">
      <c r="A261" s="3173"/>
      <c r="C261" s="3174"/>
      <c r="E261" s="3173"/>
    </row>
    <row r="262" spans="1:5" s="1971" customFormat="1">
      <c r="A262" s="3173"/>
      <c r="C262" s="3174"/>
      <c r="E262" s="3173"/>
    </row>
    <row r="263" spans="1:5" s="1971" customFormat="1">
      <c r="A263" s="3173"/>
      <c r="C263" s="3174"/>
      <c r="E263" s="3173"/>
    </row>
    <row r="264" spans="1:5" s="1971" customFormat="1">
      <c r="A264" s="3173"/>
      <c r="C264" s="3174"/>
      <c r="E264" s="3173"/>
    </row>
    <row r="265" spans="1:5" s="1971" customFormat="1">
      <c r="A265" s="3173"/>
      <c r="C265" s="3174"/>
      <c r="E265" s="3173"/>
    </row>
    <row r="266" spans="1:5" s="1971" customFormat="1">
      <c r="A266" s="3173"/>
      <c r="C266" s="3174"/>
      <c r="E266" s="3173"/>
    </row>
    <row r="267" spans="1:5" s="1971" customFormat="1">
      <c r="A267" s="3173"/>
      <c r="C267" s="3174"/>
      <c r="E267" s="3173"/>
    </row>
    <row r="268" spans="1:5" s="1971" customFormat="1">
      <c r="A268" s="3173"/>
      <c r="C268" s="3174"/>
      <c r="E268" s="3173"/>
    </row>
    <row r="269" spans="1:5" s="1971" customFormat="1">
      <c r="A269" s="3173"/>
      <c r="C269" s="3174"/>
      <c r="E269" s="3173"/>
    </row>
    <row r="270" spans="1:5" s="1971" customFormat="1">
      <c r="A270" s="3173"/>
      <c r="C270" s="3174"/>
      <c r="E270" s="3173"/>
    </row>
    <row r="271" spans="1:5" s="1971" customFormat="1">
      <c r="A271" s="3173"/>
      <c r="C271" s="3174"/>
      <c r="E271" s="3173"/>
    </row>
    <row r="272" spans="1:5" s="1971" customFormat="1">
      <c r="A272" s="3173"/>
      <c r="C272" s="3174"/>
      <c r="E272" s="3173"/>
    </row>
    <row r="273" spans="1:5" s="1971" customFormat="1">
      <c r="A273" s="3173"/>
      <c r="C273" s="3174"/>
      <c r="E273" s="3173"/>
    </row>
    <row r="274" spans="1:5" s="1971" customFormat="1">
      <c r="A274" s="3173"/>
      <c r="C274" s="3174"/>
      <c r="E274" s="3173"/>
    </row>
    <row r="275" spans="1:5" s="1971" customFormat="1">
      <c r="A275" s="3173"/>
      <c r="C275" s="3174"/>
      <c r="E275" s="3173"/>
    </row>
    <row r="276" spans="1:5" s="1971" customFormat="1">
      <c r="A276" s="3173"/>
      <c r="C276" s="3174"/>
      <c r="E276" s="3173"/>
    </row>
    <row r="277" spans="1:5" s="1971" customFormat="1">
      <c r="A277" s="3173"/>
      <c r="C277" s="3174"/>
      <c r="E277" s="3173"/>
    </row>
    <row r="278" spans="1:5" s="1971" customFormat="1">
      <c r="A278" s="3173"/>
      <c r="C278" s="3174"/>
      <c r="E278" s="3173"/>
    </row>
    <row r="279" spans="1:5" s="1971" customFormat="1">
      <c r="A279" s="3173"/>
      <c r="C279" s="3174"/>
      <c r="E279" s="3173"/>
    </row>
    <row r="280" spans="1:5" s="1971" customFormat="1">
      <c r="A280" s="3173"/>
      <c r="C280" s="3174"/>
      <c r="E280" s="3173"/>
    </row>
    <row r="281" spans="1:5" s="1971" customFormat="1">
      <c r="A281" s="3173"/>
      <c r="C281" s="3174"/>
      <c r="E281" s="3173"/>
    </row>
    <row r="282" spans="1:5" s="1971" customFormat="1">
      <c r="A282" s="3173"/>
      <c r="C282" s="3174"/>
      <c r="E282" s="3173"/>
    </row>
    <row r="283" spans="1:5" s="1971" customFormat="1">
      <c r="A283" s="3173"/>
      <c r="C283" s="3174"/>
      <c r="E283" s="3173"/>
    </row>
    <row r="284" spans="1:5" s="1971" customFormat="1">
      <c r="A284" s="3173"/>
      <c r="C284" s="3174"/>
      <c r="E284" s="3173"/>
    </row>
    <row r="285" spans="1:5" s="1971" customFormat="1">
      <c r="A285" s="3173"/>
      <c r="C285" s="3174"/>
      <c r="E285" s="3173"/>
    </row>
    <row r="286" spans="1:5" s="1971" customFormat="1">
      <c r="A286" s="3173"/>
      <c r="C286" s="3174"/>
      <c r="E286" s="3173"/>
    </row>
    <row r="287" spans="1:5" s="1971" customFormat="1">
      <c r="A287" s="3173"/>
      <c r="C287" s="3174"/>
      <c r="E287" s="3173"/>
    </row>
    <row r="288" spans="1:5" s="1971" customFormat="1">
      <c r="A288" s="3173"/>
      <c r="C288" s="3174"/>
      <c r="E288" s="3173"/>
    </row>
    <row r="289" spans="1:5" s="1971" customFormat="1">
      <c r="A289" s="3173"/>
      <c r="C289" s="3174"/>
      <c r="E289" s="3173"/>
    </row>
    <row r="290" spans="1:5" s="1971" customFormat="1">
      <c r="A290" s="3173"/>
      <c r="C290" s="3174"/>
      <c r="E290" s="3173"/>
    </row>
    <row r="291" spans="1:5" s="1971" customFormat="1">
      <c r="A291" s="3173"/>
      <c r="C291" s="3174"/>
      <c r="E291" s="3173"/>
    </row>
    <row r="292" spans="1:5" s="1971" customFormat="1">
      <c r="A292" s="3173"/>
      <c r="C292" s="3174"/>
      <c r="E292" s="3173"/>
    </row>
    <row r="293" spans="1:5" s="1971" customFormat="1">
      <c r="A293" s="3173"/>
      <c r="C293" s="3174"/>
      <c r="E293" s="3173"/>
    </row>
    <row r="294" spans="1:5" s="1971" customFormat="1">
      <c r="A294" s="3173"/>
      <c r="C294" s="3174"/>
      <c r="E294" s="3173"/>
    </row>
    <row r="295" spans="1:5" s="1971" customFormat="1">
      <c r="A295" s="3173"/>
      <c r="C295" s="3174"/>
      <c r="E295" s="3173"/>
    </row>
    <row r="296" spans="1:5" s="1971" customFormat="1">
      <c r="A296" s="3173"/>
      <c r="C296" s="3174"/>
      <c r="E296" s="3173"/>
    </row>
    <row r="297" spans="1:5" s="1971" customFormat="1">
      <c r="A297" s="3173"/>
      <c r="C297" s="3174"/>
      <c r="E297" s="3173"/>
    </row>
    <row r="298" spans="1:5" s="1971" customFormat="1">
      <c r="A298" s="3173"/>
      <c r="C298" s="3174"/>
      <c r="E298" s="3173"/>
    </row>
    <row r="299" spans="1:5" s="1971" customFormat="1">
      <c r="A299" s="3173"/>
      <c r="C299" s="3174"/>
      <c r="E299" s="3173"/>
    </row>
    <row r="300" spans="1:5" s="1971" customFormat="1">
      <c r="A300" s="3173"/>
      <c r="C300" s="3174"/>
      <c r="E300" s="3173"/>
    </row>
    <row r="301" spans="1:5" s="1971" customFormat="1">
      <c r="A301" s="3173"/>
      <c r="C301" s="3174"/>
      <c r="E301" s="3173"/>
    </row>
    <row r="302" spans="1:5" s="1971" customFormat="1">
      <c r="A302" s="3173"/>
      <c r="C302" s="3174"/>
      <c r="E302" s="3173"/>
    </row>
    <row r="303" spans="1:5" s="1971" customFormat="1">
      <c r="A303" s="3173"/>
      <c r="C303" s="3174"/>
      <c r="E303" s="3173"/>
    </row>
    <row r="304" spans="1:5" s="1971" customFormat="1">
      <c r="A304" s="3173"/>
      <c r="C304" s="3174"/>
      <c r="E304" s="3173"/>
    </row>
    <row r="305" spans="1:5" s="1971" customFormat="1">
      <c r="A305" s="3173"/>
      <c r="C305" s="3174"/>
      <c r="E305" s="3173"/>
    </row>
    <row r="306" spans="1:5" s="1971" customFormat="1">
      <c r="A306" s="3173"/>
      <c r="C306" s="3174"/>
      <c r="E306" s="3173"/>
    </row>
    <row r="307" spans="1:5" s="1971" customFormat="1">
      <c r="A307" s="3173"/>
      <c r="C307" s="3174"/>
      <c r="E307" s="3173"/>
    </row>
    <row r="308" spans="1:5" s="1971" customFormat="1">
      <c r="A308" s="3173"/>
      <c r="C308" s="3174"/>
      <c r="E308" s="3173"/>
    </row>
    <row r="309" spans="1:5" s="1971" customFormat="1">
      <c r="A309" s="3173"/>
      <c r="C309" s="3174"/>
      <c r="E309" s="3173"/>
    </row>
    <row r="310" spans="1:5" s="1971" customFormat="1">
      <c r="A310" s="3173"/>
      <c r="C310" s="3174"/>
      <c r="E310" s="3173"/>
    </row>
    <row r="311" spans="1:5" s="1971" customFormat="1">
      <c r="A311" s="3173"/>
      <c r="C311" s="3174"/>
      <c r="E311" s="3173"/>
    </row>
    <row r="312" spans="1:5" s="1971" customFormat="1">
      <c r="A312" s="3173"/>
      <c r="C312" s="3174"/>
      <c r="E312" s="3173"/>
    </row>
    <row r="313" spans="1:5" s="1971" customFormat="1">
      <c r="A313" s="3173"/>
      <c r="C313" s="3174"/>
      <c r="E313" s="3173"/>
    </row>
    <row r="314" spans="1:5" s="1971" customFormat="1">
      <c r="A314" s="3173"/>
      <c r="C314" s="3174"/>
      <c r="E314" s="3173"/>
    </row>
    <row r="315" spans="1:5" s="1971" customFormat="1">
      <c r="A315" s="3173"/>
      <c r="C315" s="3174"/>
      <c r="E315" s="3173"/>
    </row>
    <row r="316" spans="1:5" s="1971" customFormat="1">
      <c r="A316" s="3173"/>
      <c r="C316" s="3174"/>
      <c r="E316" s="3173"/>
    </row>
    <row r="317" spans="1:5" s="1971" customFormat="1">
      <c r="A317" s="3173"/>
      <c r="C317" s="3174"/>
      <c r="E317" s="3173"/>
    </row>
    <row r="318" spans="1:5" s="1971" customFormat="1">
      <c r="A318" s="3173"/>
      <c r="C318" s="3174"/>
      <c r="E318" s="3173"/>
    </row>
    <row r="319" spans="1:5" s="1971" customFormat="1">
      <c r="A319" s="3173"/>
      <c r="C319" s="3174"/>
      <c r="E319" s="3173"/>
    </row>
    <row r="320" spans="1:5" s="1971" customFormat="1">
      <c r="A320" s="3173"/>
      <c r="C320" s="3174"/>
      <c r="E320" s="3173"/>
    </row>
    <row r="321" spans="1:5" s="1971" customFormat="1">
      <c r="A321" s="3173"/>
      <c r="C321" s="3174"/>
      <c r="E321" s="3173"/>
    </row>
    <row r="322" spans="1:5" s="1971" customFormat="1">
      <c r="A322" s="3173"/>
      <c r="C322" s="3174"/>
      <c r="E322" s="3173"/>
    </row>
    <row r="323" spans="1:5" s="1971" customFormat="1">
      <c r="A323" s="3173"/>
      <c r="C323" s="3174"/>
      <c r="E323" s="3173"/>
    </row>
    <row r="324" spans="1:5" s="1971" customFormat="1">
      <c r="A324" s="3173"/>
      <c r="C324" s="3174"/>
      <c r="E324" s="3173"/>
    </row>
    <row r="325" spans="1:5" s="1971" customFormat="1">
      <c r="A325" s="3173"/>
      <c r="C325" s="3174"/>
      <c r="E325" s="3173"/>
    </row>
    <row r="326" spans="1:5" s="1971" customFormat="1">
      <c r="A326" s="3173"/>
      <c r="C326" s="3174"/>
      <c r="E326" s="3173"/>
    </row>
    <row r="327" spans="1:5" s="1971" customFormat="1">
      <c r="A327" s="3173"/>
      <c r="C327" s="3174"/>
      <c r="E327" s="3173"/>
    </row>
    <row r="328" spans="1:5" s="1971" customFormat="1">
      <c r="A328" s="3173"/>
      <c r="C328" s="3174"/>
      <c r="E328" s="3173"/>
    </row>
    <row r="329" spans="1:5" s="1971" customFormat="1">
      <c r="A329" s="3173"/>
      <c r="C329" s="3174"/>
      <c r="E329" s="3173"/>
    </row>
    <row r="330" spans="1:5" s="1971" customFormat="1">
      <c r="A330" s="3173"/>
      <c r="C330" s="3174"/>
      <c r="E330" s="3173"/>
    </row>
    <row r="331" spans="1:5" s="1971" customFormat="1">
      <c r="A331" s="3173"/>
      <c r="C331" s="3174"/>
      <c r="E331" s="3173"/>
    </row>
    <row r="332" spans="1:5" s="1971" customFormat="1">
      <c r="A332" s="3173"/>
      <c r="C332" s="3174"/>
      <c r="E332" s="3173"/>
    </row>
    <row r="333" spans="1:5" s="1971" customFormat="1">
      <c r="A333" s="3173"/>
      <c r="C333" s="3174"/>
      <c r="E333" s="3173"/>
    </row>
    <row r="334" spans="1:5" s="1971" customFormat="1">
      <c r="A334" s="3173"/>
      <c r="C334" s="3174"/>
      <c r="E334" s="3173"/>
    </row>
    <row r="335" spans="1:5" s="1971" customFormat="1">
      <c r="A335" s="3173"/>
      <c r="C335" s="3174"/>
      <c r="E335" s="3173"/>
    </row>
    <row r="336" spans="1:5" s="1971" customFormat="1">
      <c r="A336" s="3173"/>
      <c r="C336" s="3174"/>
      <c r="E336" s="3173"/>
    </row>
    <row r="337" spans="1:5" s="1971" customFormat="1">
      <c r="A337" s="3173"/>
      <c r="C337" s="3174"/>
      <c r="E337" s="3173"/>
    </row>
    <row r="338" spans="1:5" s="1971" customFormat="1">
      <c r="A338" s="3173"/>
      <c r="C338" s="3174"/>
      <c r="E338" s="3173"/>
    </row>
    <row r="339" spans="1:5" s="1971" customFormat="1">
      <c r="A339" s="3173"/>
      <c r="C339" s="3174"/>
      <c r="E339" s="3173"/>
    </row>
    <row r="340" spans="1:5" s="1971" customFormat="1">
      <c r="A340" s="3173"/>
      <c r="C340" s="3174"/>
      <c r="E340" s="3173"/>
    </row>
    <row r="341" spans="1:5" s="1971" customFormat="1">
      <c r="A341" s="3173"/>
      <c r="C341" s="3174"/>
      <c r="E341" s="3173"/>
    </row>
    <row r="342" spans="1:5" s="1971" customFormat="1">
      <c r="A342" s="3173"/>
      <c r="C342" s="3174"/>
      <c r="E342" s="3173"/>
    </row>
    <row r="343" spans="1:5" s="1971" customFormat="1">
      <c r="A343" s="3173"/>
      <c r="C343" s="3174"/>
      <c r="E343" s="3173"/>
    </row>
    <row r="344" spans="1:5" s="1971" customFormat="1">
      <c r="A344" s="3173"/>
      <c r="C344" s="3174"/>
      <c r="E344" s="3173"/>
    </row>
    <row r="345" spans="1:5" s="1971" customFormat="1">
      <c r="A345" s="3173"/>
      <c r="C345" s="3174"/>
      <c r="E345" s="3173"/>
    </row>
    <row r="346" spans="1:5" s="1971" customFormat="1">
      <c r="A346" s="3173"/>
      <c r="C346" s="3174"/>
      <c r="E346" s="3173"/>
    </row>
    <row r="347" spans="1:5" s="1971" customFormat="1">
      <c r="A347" s="3173"/>
      <c r="C347" s="3174"/>
      <c r="E347" s="3173"/>
    </row>
    <row r="348" spans="1:5" s="1971" customFormat="1">
      <c r="A348" s="3173"/>
      <c r="C348" s="3174"/>
      <c r="E348" s="3173"/>
    </row>
    <row r="349" spans="1:5" s="1971" customFormat="1">
      <c r="A349" s="3173"/>
      <c r="C349" s="3174"/>
      <c r="E349" s="3173"/>
    </row>
    <row r="350" spans="1:5" s="1971" customFormat="1">
      <c r="A350" s="3173"/>
      <c r="C350" s="3174"/>
      <c r="E350" s="3173"/>
    </row>
    <row r="351" spans="1:5" s="1971" customFormat="1">
      <c r="A351" s="3173"/>
      <c r="C351" s="3174"/>
      <c r="E351" s="3173"/>
    </row>
    <row r="352" spans="1:5" s="1971" customFormat="1">
      <c r="A352" s="3173"/>
      <c r="C352" s="3174"/>
      <c r="E352" s="3173"/>
    </row>
    <row r="353" spans="1:5" s="1971" customFormat="1">
      <c r="A353" s="3173"/>
      <c r="C353" s="3174"/>
      <c r="E353" s="3173"/>
    </row>
    <row r="354" spans="1:5" s="1971" customFormat="1">
      <c r="A354" s="3173"/>
      <c r="C354" s="3174"/>
      <c r="E354" s="3173"/>
    </row>
    <row r="355" spans="1:5" s="1971" customFormat="1">
      <c r="A355" s="3173"/>
      <c r="C355" s="3174"/>
      <c r="E355" s="3173"/>
    </row>
    <row r="356" spans="1:5" s="1971" customFormat="1">
      <c r="A356" s="3173"/>
      <c r="C356" s="3174"/>
      <c r="E356" s="3173"/>
    </row>
    <row r="357" spans="1:5" s="1971" customFormat="1">
      <c r="A357" s="3173"/>
      <c r="C357" s="3174"/>
      <c r="E357" s="3173"/>
    </row>
    <row r="358" spans="1:5" s="1971" customFormat="1">
      <c r="A358" s="3173"/>
      <c r="C358" s="3174"/>
      <c r="E358" s="3173"/>
    </row>
    <row r="359" spans="1:5" s="1971" customFormat="1">
      <c r="A359" s="3173"/>
      <c r="C359" s="3174"/>
      <c r="E359" s="3173"/>
    </row>
    <row r="360" spans="1:5" s="1971" customFormat="1">
      <c r="A360" s="3173"/>
      <c r="C360" s="3174"/>
      <c r="E360" s="3173"/>
    </row>
    <row r="361" spans="1:5" s="1971" customFormat="1">
      <c r="A361" s="3173"/>
      <c r="C361" s="3174"/>
      <c r="E361" s="3173"/>
    </row>
    <row r="362" spans="1:5" s="1971" customFormat="1">
      <c r="A362" s="3173"/>
      <c r="C362" s="3174"/>
      <c r="E362" s="3173"/>
    </row>
    <row r="363" spans="1:5" s="1971" customFormat="1">
      <c r="A363" s="3173"/>
      <c r="C363" s="3174"/>
      <c r="E363" s="3173"/>
    </row>
    <row r="364" spans="1:5" s="1971" customFormat="1">
      <c r="A364" s="3173"/>
      <c r="C364" s="3174"/>
      <c r="E364" s="3173"/>
    </row>
    <row r="365" spans="1:5" s="1971" customFormat="1">
      <c r="A365" s="3173"/>
      <c r="C365" s="3174"/>
      <c r="E365" s="3173"/>
    </row>
    <row r="366" spans="1:5" s="1971" customFormat="1">
      <c r="A366" s="3173"/>
      <c r="C366" s="3174"/>
      <c r="E366" s="3173"/>
    </row>
    <row r="367" spans="1:5" s="1971" customFormat="1">
      <c r="A367" s="3173"/>
      <c r="C367" s="3174"/>
      <c r="E367" s="3173"/>
    </row>
    <row r="368" spans="1:5" s="1971" customFormat="1">
      <c r="A368" s="3173"/>
      <c r="C368" s="3174"/>
      <c r="E368" s="3173"/>
    </row>
    <row r="369" spans="1:5" s="1971" customFormat="1">
      <c r="A369" s="3173"/>
      <c r="C369" s="3174"/>
      <c r="E369" s="3173"/>
    </row>
    <row r="370" spans="1:5" s="1971" customFormat="1">
      <c r="A370" s="3173"/>
      <c r="C370" s="3174"/>
      <c r="E370" s="3173"/>
    </row>
    <row r="371" spans="1:5" s="1971" customFormat="1">
      <c r="A371" s="3173"/>
      <c r="C371" s="3174"/>
      <c r="E371" s="3173"/>
    </row>
    <row r="372" spans="1:5" s="1971" customFormat="1">
      <c r="A372" s="3173"/>
      <c r="C372" s="3174"/>
      <c r="E372" s="3173"/>
    </row>
    <row r="373" spans="1:5" s="1971" customFormat="1">
      <c r="A373" s="3173"/>
      <c r="C373" s="3174"/>
      <c r="E373" s="3173"/>
    </row>
    <row r="374" spans="1:5" s="1971" customFormat="1">
      <c r="A374" s="3173"/>
      <c r="C374" s="3174"/>
      <c r="E374" s="3173"/>
    </row>
    <row r="375" spans="1:5" s="1971" customFormat="1">
      <c r="A375" s="3173"/>
      <c r="C375" s="3174"/>
      <c r="E375" s="3173"/>
    </row>
    <row r="376" spans="1:5" s="1971" customFormat="1">
      <c r="A376" s="3173"/>
      <c r="C376" s="3174"/>
      <c r="E376" s="3173"/>
    </row>
    <row r="377" spans="1:5" s="1971" customFormat="1">
      <c r="A377" s="3173"/>
      <c r="C377" s="3174"/>
      <c r="E377" s="3173"/>
    </row>
    <row r="378" spans="1:5" s="1971" customFormat="1">
      <c r="A378" s="3173"/>
      <c r="C378" s="3174"/>
      <c r="E378" s="3173"/>
    </row>
    <row r="379" spans="1:5" s="1971" customFormat="1">
      <c r="A379" s="3173"/>
      <c r="C379" s="3174"/>
      <c r="E379" s="3173"/>
    </row>
    <row r="380" spans="1:5" s="1971" customFormat="1">
      <c r="A380" s="3173"/>
      <c r="C380" s="3174"/>
      <c r="E380" s="3173"/>
    </row>
    <row r="381" spans="1:5" s="1971" customFormat="1">
      <c r="A381" s="3173"/>
      <c r="C381" s="3174"/>
      <c r="E381" s="3173"/>
    </row>
    <row r="382" spans="1:5" s="1971" customFormat="1">
      <c r="A382" s="3173"/>
      <c r="C382" s="3174"/>
      <c r="E382" s="3173"/>
    </row>
    <row r="383" spans="1:5" s="1971" customFormat="1">
      <c r="A383" s="3173"/>
      <c r="C383" s="3174"/>
      <c r="E383" s="3173"/>
    </row>
    <row r="384" spans="1:5" s="1971" customFormat="1">
      <c r="A384" s="3173"/>
      <c r="C384" s="3174"/>
      <c r="E384" s="3173"/>
    </row>
    <row r="385" spans="1:5" s="1971" customFormat="1">
      <c r="A385" s="3173"/>
      <c r="C385" s="3174"/>
      <c r="E385" s="3173"/>
    </row>
    <row r="386" spans="1:5" s="1971" customFormat="1">
      <c r="A386" s="3173"/>
      <c r="C386" s="3174"/>
      <c r="E386" s="3173"/>
    </row>
    <row r="387" spans="1:5" s="1971" customFormat="1">
      <c r="A387" s="3173"/>
      <c r="C387" s="3174"/>
      <c r="E387" s="3173"/>
    </row>
    <row r="388" spans="1:5" s="1971" customFormat="1">
      <c r="A388" s="3173"/>
      <c r="C388" s="3174"/>
      <c r="E388" s="3173"/>
    </row>
    <row r="389" spans="1:5" s="1971" customFormat="1">
      <c r="A389" s="3173"/>
      <c r="C389" s="3174"/>
      <c r="E389" s="3173"/>
    </row>
    <row r="390" spans="1:5" s="1971" customFormat="1">
      <c r="A390" s="3173"/>
      <c r="C390" s="3174"/>
      <c r="E390" s="3173"/>
    </row>
    <row r="391" spans="1:5" s="1971" customFormat="1">
      <c r="A391" s="3173"/>
      <c r="C391" s="3174"/>
      <c r="E391" s="3173"/>
    </row>
    <row r="392" spans="1:5" s="1971" customFormat="1">
      <c r="A392" s="3173"/>
      <c r="C392" s="3174"/>
      <c r="E392" s="3173"/>
    </row>
    <row r="393" spans="1:5" s="1971" customFormat="1">
      <c r="A393" s="3173"/>
      <c r="C393" s="3174"/>
      <c r="E393" s="3173"/>
    </row>
    <row r="394" spans="1:5" s="1971" customFormat="1">
      <c r="A394" s="3173"/>
      <c r="C394" s="3174"/>
      <c r="E394" s="3173"/>
    </row>
    <row r="395" spans="1:5" s="1971" customFormat="1">
      <c r="A395" s="3173"/>
      <c r="C395" s="3174"/>
      <c r="E395" s="3173"/>
    </row>
    <row r="396" spans="1:5" s="1971" customFormat="1">
      <c r="A396" s="3173"/>
      <c r="C396" s="3174"/>
      <c r="E396" s="3173"/>
    </row>
    <row r="397" spans="1:5" s="1971" customFormat="1">
      <c r="A397" s="3173"/>
      <c r="C397" s="3174"/>
      <c r="E397" s="3173"/>
    </row>
    <row r="398" spans="1:5" s="1971" customFormat="1">
      <c r="A398" s="3173"/>
      <c r="C398" s="3174"/>
      <c r="E398" s="3173"/>
    </row>
    <row r="399" spans="1:5" s="1971" customFormat="1">
      <c r="A399" s="3173"/>
      <c r="C399" s="3174"/>
      <c r="E399" s="3173"/>
    </row>
    <row r="400" spans="1:5" s="1971" customFormat="1">
      <c r="A400" s="3173"/>
      <c r="C400" s="3174"/>
      <c r="E400" s="3173"/>
    </row>
    <row r="401" spans="1:5" s="1971" customFormat="1">
      <c r="A401" s="3173"/>
      <c r="C401" s="3174"/>
      <c r="E401" s="3173"/>
    </row>
    <row r="402" spans="1:5" s="1971" customFormat="1">
      <c r="A402" s="3173"/>
      <c r="C402" s="3174"/>
      <c r="E402" s="3173"/>
    </row>
    <row r="403" spans="1:5" s="1971" customFormat="1">
      <c r="A403" s="3173"/>
      <c r="C403" s="3174"/>
      <c r="E403" s="3173"/>
    </row>
    <row r="404" spans="1:5" s="1971" customFormat="1">
      <c r="A404" s="3173"/>
      <c r="C404" s="3174"/>
      <c r="E404" s="3173"/>
    </row>
    <row r="405" spans="1:5" s="1971" customFormat="1">
      <c r="A405" s="3173"/>
      <c r="C405" s="3174"/>
      <c r="E405" s="3173"/>
    </row>
    <row r="406" spans="1:5" s="1971" customFormat="1">
      <c r="A406" s="3173"/>
      <c r="C406" s="3174"/>
      <c r="E406" s="3173"/>
    </row>
    <row r="407" spans="1:5" s="1971" customFormat="1">
      <c r="A407" s="3173"/>
      <c r="C407" s="3174"/>
      <c r="E407" s="3173"/>
    </row>
    <row r="408" spans="1:5" s="1971" customFormat="1">
      <c r="A408" s="3173"/>
      <c r="C408" s="3174"/>
      <c r="E408" s="3173"/>
    </row>
    <row r="409" spans="1:5" s="1971" customFormat="1">
      <c r="A409" s="3173"/>
      <c r="C409" s="3174"/>
      <c r="E409" s="3173"/>
    </row>
    <row r="410" spans="1:5" s="1971" customFormat="1">
      <c r="A410" s="3173"/>
      <c r="C410" s="3174"/>
      <c r="E410" s="3173"/>
    </row>
    <row r="411" spans="1:5" s="1971" customFormat="1">
      <c r="A411" s="3173"/>
      <c r="C411" s="3174"/>
      <c r="E411" s="3173"/>
    </row>
    <row r="412" spans="1:5" s="1971" customFormat="1">
      <c r="A412" s="3173"/>
      <c r="C412" s="3174"/>
      <c r="E412" s="3173"/>
    </row>
    <row r="413" spans="1:5" s="1971" customFormat="1">
      <c r="A413" s="3173"/>
      <c r="C413" s="3174"/>
      <c r="E413" s="3173"/>
    </row>
    <row r="414" spans="1:5" s="1971" customFormat="1">
      <c r="A414" s="3173"/>
      <c r="C414" s="3174"/>
      <c r="E414" s="3173"/>
    </row>
    <row r="415" spans="1:5" s="1971" customFormat="1">
      <c r="A415" s="3173"/>
      <c r="C415" s="3174"/>
      <c r="E415" s="3173"/>
    </row>
    <row r="416" spans="1:5" s="1971" customFormat="1">
      <c r="A416" s="3173"/>
      <c r="C416" s="3174"/>
      <c r="E416" s="3173"/>
    </row>
    <row r="417" spans="1:5" s="1971" customFormat="1">
      <c r="A417" s="3173"/>
      <c r="C417" s="3174"/>
      <c r="E417" s="3173"/>
    </row>
    <row r="418" spans="1:5" s="1971" customFormat="1">
      <c r="A418" s="3173"/>
      <c r="C418" s="3174"/>
      <c r="E418" s="3173"/>
    </row>
    <row r="419" spans="1:5" s="1971" customFormat="1">
      <c r="A419" s="3173"/>
      <c r="C419" s="3174"/>
      <c r="E419" s="3173"/>
    </row>
    <row r="420" spans="1:5" s="1971" customFormat="1">
      <c r="A420" s="3173"/>
      <c r="C420" s="3174"/>
      <c r="E420" s="3173"/>
    </row>
    <row r="421" spans="1:5" s="1971" customFormat="1">
      <c r="A421" s="3173"/>
      <c r="C421" s="3174"/>
      <c r="E421" s="3173"/>
    </row>
    <row r="422" spans="1:5" s="1971" customFormat="1">
      <c r="A422" s="3173"/>
      <c r="C422" s="3174"/>
      <c r="E422" s="3173"/>
    </row>
    <row r="423" spans="1:5" s="1971" customFormat="1">
      <c r="A423" s="3173"/>
      <c r="C423" s="3174"/>
      <c r="E423" s="3173"/>
    </row>
    <row r="424" spans="1:5" s="1971" customFormat="1">
      <c r="A424" s="3173"/>
      <c r="C424" s="3174"/>
      <c r="E424" s="3173"/>
    </row>
    <row r="425" spans="1:5" s="1971" customFormat="1">
      <c r="A425" s="3173"/>
      <c r="C425" s="3174"/>
      <c r="E425" s="3173"/>
    </row>
    <row r="426" spans="1:5" s="1971" customFormat="1">
      <c r="A426" s="3173"/>
      <c r="C426" s="3174"/>
      <c r="E426" s="3173"/>
    </row>
    <row r="427" spans="1:5" s="1971" customFormat="1">
      <c r="A427" s="3173"/>
      <c r="C427" s="3174"/>
      <c r="E427" s="3173"/>
    </row>
    <row r="428" spans="1:5" s="1971" customFormat="1">
      <c r="A428" s="3173"/>
      <c r="C428" s="3174"/>
      <c r="E428" s="3173"/>
    </row>
    <row r="429" spans="1:5" s="1971" customFormat="1">
      <c r="A429" s="3173"/>
      <c r="C429" s="3174"/>
      <c r="E429" s="3173"/>
    </row>
    <row r="430" spans="1:5" s="1971" customFormat="1">
      <c r="A430" s="3173"/>
      <c r="C430" s="3174"/>
      <c r="E430" s="3173"/>
    </row>
    <row r="431" spans="1:5" s="1971" customFormat="1">
      <c r="A431" s="3173"/>
      <c r="C431" s="3174"/>
      <c r="E431" s="3173"/>
    </row>
    <row r="432" spans="1:5" s="1971" customFormat="1">
      <c r="A432" s="3173"/>
      <c r="C432" s="3174"/>
      <c r="E432" s="3173"/>
    </row>
    <row r="433" spans="1:5" s="1971" customFormat="1">
      <c r="A433" s="3173"/>
      <c r="C433" s="3174"/>
      <c r="E433" s="3173"/>
    </row>
    <row r="434" spans="1:5" s="1971" customFormat="1">
      <c r="A434" s="3173"/>
      <c r="C434" s="3174"/>
      <c r="E434" s="3173"/>
    </row>
    <row r="435" spans="1:5" s="1971" customFormat="1">
      <c r="A435" s="3173"/>
      <c r="C435" s="3174"/>
      <c r="E435" s="3173"/>
    </row>
    <row r="436" spans="1:5" s="1971" customFormat="1">
      <c r="A436" s="3173"/>
      <c r="C436" s="3174"/>
      <c r="E436" s="3173"/>
    </row>
    <row r="437" spans="1:5" s="1971" customFormat="1">
      <c r="A437" s="3173"/>
      <c r="C437" s="3174"/>
      <c r="E437" s="3173"/>
    </row>
    <row r="438" spans="1:5" s="1971" customFormat="1">
      <c r="A438" s="3173"/>
      <c r="C438" s="3174"/>
      <c r="E438" s="3173"/>
    </row>
    <row r="439" spans="1:5" s="1971" customFormat="1">
      <c r="A439" s="3173"/>
      <c r="C439" s="3174"/>
      <c r="E439" s="3173"/>
    </row>
    <row r="440" spans="1:5" s="1971" customFormat="1">
      <c r="A440" s="3173"/>
      <c r="C440" s="3174"/>
      <c r="E440" s="3173"/>
    </row>
    <row r="441" spans="1:5" s="1971" customFormat="1">
      <c r="A441" s="3173"/>
      <c r="C441" s="3174"/>
      <c r="E441" s="3173"/>
    </row>
    <row r="442" spans="1:5" s="1971" customFormat="1">
      <c r="A442" s="3173"/>
      <c r="C442" s="3174"/>
      <c r="E442" s="3173"/>
    </row>
    <row r="443" spans="1:5" s="1971" customFormat="1">
      <c r="A443" s="3173"/>
      <c r="C443" s="3174"/>
      <c r="E443" s="3173"/>
    </row>
    <row r="444" spans="1:5" s="1971" customFormat="1">
      <c r="A444" s="3173"/>
      <c r="C444" s="3174"/>
      <c r="E444" s="3173"/>
    </row>
    <row r="445" spans="1:5" s="1971" customFormat="1">
      <c r="A445" s="3173"/>
      <c r="C445" s="3174"/>
      <c r="E445" s="3173"/>
    </row>
    <row r="446" spans="1:5" s="1971" customFormat="1">
      <c r="A446" s="3173"/>
      <c r="C446" s="3174"/>
      <c r="E446" s="3173"/>
    </row>
    <row r="447" spans="1:5" s="1971" customFormat="1">
      <c r="A447" s="3173"/>
      <c r="C447" s="3174"/>
      <c r="E447" s="3173"/>
    </row>
    <row r="448" spans="1:5" s="1971" customFormat="1">
      <c r="A448" s="3173"/>
      <c r="C448" s="3174"/>
      <c r="E448" s="3173"/>
    </row>
    <row r="449" spans="1:5" s="1971" customFormat="1">
      <c r="A449" s="3173"/>
      <c r="C449" s="3174"/>
      <c r="E449" s="3173"/>
    </row>
    <row r="450" spans="1:5" s="1971" customFormat="1">
      <c r="A450" s="3173"/>
      <c r="C450" s="3174"/>
      <c r="E450" s="3173"/>
    </row>
    <row r="451" spans="1:5" s="1971" customFormat="1">
      <c r="A451" s="3173"/>
      <c r="C451" s="3174"/>
      <c r="E451" s="3173"/>
    </row>
    <row r="452" spans="1:5" s="1971" customFormat="1">
      <c r="A452" s="3173"/>
      <c r="C452" s="3174"/>
      <c r="E452" s="3173"/>
    </row>
    <row r="453" spans="1:5" s="1971" customFormat="1">
      <c r="A453" s="3173"/>
      <c r="C453" s="3174"/>
      <c r="E453" s="3173"/>
    </row>
    <row r="454" spans="1:5" s="1971" customFormat="1">
      <c r="A454" s="3173"/>
      <c r="C454" s="3174"/>
      <c r="E454" s="3173"/>
    </row>
    <row r="455" spans="1:5" s="1971" customFormat="1">
      <c r="A455" s="3173"/>
      <c r="C455" s="3174"/>
      <c r="E455" s="3173"/>
    </row>
    <row r="456" spans="1:5" s="1971" customFormat="1">
      <c r="A456" s="3173"/>
      <c r="C456" s="3174"/>
      <c r="E456" s="3173"/>
    </row>
    <row r="457" spans="1:5" s="1971" customFormat="1">
      <c r="A457" s="3173"/>
      <c r="C457" s="3174"/>
      <c r="E457" s="3173"/>
    </row>
    <row r="458" spans="1:5" s="1971" customFormat="1">
      <c r="A458" s="3173"/>
      <c r="C458" s="3174"/>
      <c r="E458" s="3173"/>
    </row>
    <row r="459" spans="1:5" s="1971" customFormat="1">
      <c r="A459" s="3173"/>
      <c r="C459" s="3174"/>
      <c r="E459" s="3173"/>
    </row>
    <row r="460" spans="1:5" s="1971" customFormat="1">
      <c r="A460" s="3173"/>
      <c r="C460" s="3174"/>
      <c r="E460" s="3173"/>
    </row>
    <row r="461" spans="1:5" s="1971" customFormat="1">
      <c r="A461" s="3173"/>
      <c r="C461" s="3174"/>
      <c r="E461" s="3173"/>
    </row>
    <row r="462" spans="1:5" s="1971" customFormat="1">
      <c r="A462" s="3173"/>
      <c r="C462" s="3174"/>
      <c r="E462" s="3173"/>
    </row>
    <row r="463" spans="1:5" s="1971" customFormat="1">
      <c r="A463" s="3173"/>
      <c r="C463" s="3174"/>
      <c r="E463" s="3173"/>
    </row>
    <row r="464" spans="1:5" s="1971" customFormat="1">
      <c r="A464" s="3173"/>
      <c r="C464" s="3174"/>
      <c r="E464" s="3173"/>
    </row>
    <row r="465" spans="1:5" s="1971" customFormat="1">
      <c r="A465" s="3173"/>
      <c r="C465" s="3174"/>
      <c r="E465" s="3173"/>
    </row>
    <row r="466" spans="1:5" s="1971" customFormat="1">
      <c r="A466" s="3173"/>
      <c r="C466" s="3174"/>
      <c r="E466" s="3173"/>
    </row>
    <row r="467" spans="1:5" s="1971" customFormat="1">
      <c r="A467" s="3173"/>
      <c r="C467" s="3174"/>
      <c r="E467" s="3173"/>
    </row>
    <row r="468" spans="1:5" s="1971" customFormat="1">
      <c r="A468" s="3173"/>
      <c r="C468" s="3174"/>
      <c r="E468" s="3173"/>
    </row>
    <row r="469" spans="1:5" s="1971" customFormat="1">
      <c r="A469" s="3173"/>
      <c r="C469" s="3174"/>
      <c r="E469" s="3173"/>
    </row>
    <row r="470" spans="1:5" s="1971" customFormat="1">
      <c r="A470" s="3173"/>
      <c r="C470" s="3174"/>
      <c r="E470" s="3173"/>
    </row>
    <row r="471" spans="1:5" s="1971" customFormat="1">
      <c r="A471" s="3173"/>
      <c r="C471" s="3174"/>
      <c r="E471" s="3173"/>
    </row>
    <row r="472" spans="1:5" s="1971" customFormat="1">
      <c r="A472" s="3173"/>
      <c r="C472" s="3174"/>
      <c r="E472" s="3173"/>
    </row>
    <row r="473" spans="1:5" s="1971" customFormat="1">
      <c r="A473" s="3173"/>
      <c r="C473" s="3174"/>
      <c r="E473" s="3173"/>
    </row>
    <row r="474" spans="1:5" s="1971" customFormat="1">
      <c r="A474" s="3173"/>
      <c r="C474" s="3174"/>
      <c r="E474" s="3173"/>
    </row>
    <row r="475" spans="1:5" s="1971" customFormat="1">
      <c r="A475" s="3173"/>
      <c r="C475" s="3174"/>
      <c r="E475" s="3173"/>
    </row>
    <row r="476" spans="1:5" s="1971" customFormat="1">
      <c r="A476" s="3173"/>
      <c r="C476" s="3174"/>
      <c r="E476" s="3173"/>
    </row>
    <row r="477" spans="1:5" s="1971" customFormat="1">
      <c r="A477" s="3173"/>
      <c r="C477" s="3174"/>
      <c r="E477" s="3173"/>
    </row>
    <row r="478" spans="1:5" s="1971" customFormat="1">
      <c r="A478" s="3173"/>
      <c r="C478" s="3174"/>
      <c r="E478" s="3173"/>
    </row>
    <row r="479" spans="1:5" s="1971" customFormat="1">
      <c r="A479" s="3173"/>
      <c r="C479" s="3174"/>
      <c r="E479" s="3173"/>
    </row>
    <row r="480" spans="1:5" s="1971" customFormat="1">
      <c r="A480" s="3173"/>
      <c r="C480" s="3174"/>
      <c r="E480" s="3173"/>
    </row>
    <row r="481" spans="1:5" s="1971" customFormat="1">
      <c r="A481" s="3173"/>
      <c r="C481" s="3174"/>
      <c r="E481" s="3173"/>
    </row>
    <row r="482" spans="1:5" s="1971" customFormat="1">
      <c r="A482" s="3173"/>
      <c r="C482" s="3174"/>
      <c r="E482" s="3173"/>
    </row>
    <row r="483" spans="1:5" s="1971" customFormat="1">
      <c r="A483" s="3173"/>
      <c r="C483" s="3174"/>
      <c r="E483" s="3173"/>
    </row>
    <row r="484" spans="1:5" s="1971" customFormat="1">
      <c r="A484" s="3173"/>
      <c r="C484" s="3174"/>
      <c r="E484" s="3173"/>
    </row>
    <row r="485" spans="1:5" s="1971" customFormat="1">
      <c r="A485" s="3173"/>
      <c r="C485" s="3174"/>
      <c r="E485" s="3173"/>
    </row>
    <row r="486" spans="1:5" s="1971" customFormat="1">
      <c r="A486" s="3173"/>
      <c r="C486" s="3174"/>
      <c r="E486" s="3173"/>
    </row>
    <row r="487" spans="1:5" s="1971" customFormat="1">
      <c r="A487" s="3173"/>
      <c r="C487" s="3174"/>
      <c r="E487" s="3173"/>
    </row>
    <row r="488" spans="1:5" s="1971" customFormat="1">
      <c r="A488" s="3173"/>
      <c r="C488" s="3174"/>
      <c r="E488" s="3173"/>
    </row>
    <row r="489" spans="1:5" s="1971" customFormat="1">
      <c r="A489" s="3173"/>
      <c r="C489" s="3174"/>
      <c r="E489" s="3173"/>
    </row>
    <row r="490" spans="1:5" s="1971" customFormat="1">
      <c r="A490" s="3173"/>
      <c r="C490" s="3174"/>
      <c r="E490" s="3173"/>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97"/>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2611</v>
      </c>
      <c r="B6" s="427"/>
      <c r="C6" s="1527">
        <f>SUM(C10:K10)</f>
        <v>0</v>
      </c>
      <c r="D6" s="1965"/>
      <c r="E6" s="1965"/>
      <c r="F6" s="1965"/>
      <c r="G6" s="1965"/>
      <c r="H6" s="1965"/>
      <c r="I6" s="1965"/>
      <c r="J6" s="1965"/>
      <c r="K6" s="1966"/>
      <c r="L6" s="3165"/>
      <c r="M6" s="3165"/>
      <c r="N6" s="3165"/>
      <c r="O6" s="3165"/>
      <c r="P6" s="3165"/>
      <c r="Q6" s="3165"/>
      <c r="R6" s="3165"/>
      <c r="S6" s="3165"/>
      <c r="T6" s="3165"/>
      <c r="U6" s="3165"/>
      <c r="V6" s="3165"/>
      <c r="W6" s="3165"/>
      <c r="X6" s="3165"/>
      <c r="Y6" s="3165"/>
      <c r="Z6" s="3165"/>
    </row>
    <row r="7" spans="1:41" s="1969" customFormat="1" ht="15">
      <c r="A7" s="428" t="s">
        <v>464</v>
      </c>
      <c r="B7" s="429" t="s">
        <v>465</v>
      </c>
      <c r="C7" s="3283"/>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65"/>
      <c r="M11" s="3165"/>
      <c r="N11" s="3165"/>
      <c r="O11" s="3165"/>
      <c r="P11" s="3165"/>
      <c r="Q11" s="3165"/>
      <c r="R11" s="3165"/>
      <c r="S11" s="3165"/>
      <c r="T11" s="3165"/>
      <c r="U11" s="3165"/>
      <c r="V11" s="3165"/>
      <c r="W11" s="3165"/>
      <c r="X11" s="3165"/>
      <c r="Y11" s="3165"/>
      <c r="Z11" s="3165"/>
    </row>
    <row r="12" spans="1:41" s="1941" customFormat="1" ht="13.5" customHeight="1">
      <c r="A12" s="428" t="s">
        <v>464</v>
      </c>
      <c r="B12" s="437" t="s">
        <v>465</v>
      </c>
      <c r="C12" s="438" t="s">
        <v>469</v>
      </c>
      <c r="D12" s="439" t="s">
        <v>470</v>
      </c>
      <c r="E12" s="439" t="s">
        <v>471</v>
      </c>
      <c r="F12" s="439" t="s">
        <v>472</v>
      </c>
      <c r="G12" s="437"/>
      <c r="H12" s="440"/>
      <c r="I12" s="440"/>
      <c r="J12" s="440"/>
      <c r="K12" s="441"/>
      <c r="L12" s="3166"/>
      <c r="M12" s="3166"/>
      <c r="N12" s="3166"/>
      <c r="O12" s="3166"/>
      <c r="P12" s="3166"/>
      <c r="Q12" s="3166"/>
      <c r="R12" s="3166"/>
      <c r="S12" s="3166"/>
      <c r="T12" s="3166"/>
      <c r="U12" s="3166"/>
      <c r="V12" s="3166"/>
      <c r="W12" s="3166"/>
      <c r="X12" s="3166"/>
      <c r="Y12" s="3166"/>
      <c r="Z12" s="3166"/>
    </row>
    <row r="13" spans="1:41" s="1972" customFormat="1" ht="13.5" customHeight="1">
      <c r="A13" s="1537" t="s">
        <v>1828</v>
      </c>
      <c r="B13" s="442" t="s">
        <v>473</v>
      </c>
      <c r="C13" s="443">
        <f ca="1">IF(B1="",'数据-取费表'!M16,INDIRECT("'数据-取费表'!M"&amp;$K$1)+INDIRECT("'数据-取费表'!t"&amp;$K$1))</f>
        <v>29352</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881</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1374</v>
      </c>
      <c r="D15" s="444"/>
      <c r="E15" s="363"/>
      <c r="F15" s="446">
        <f>'数据-取费表'!B34</f>
        <v>0.05</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2089</v>
      </c>
      <c r="D16" s="444">
        <f ca="1">IF(B1="",'数据-汇总表'!E3,INDIRECT("'数据-取费表'!K"&amp;$K$1)+INDIRECT("'数据-取费表'!S"&amp;$K$1))</f>
        <v>104454</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440</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34136</v>
      </c>
      <c r="D18" s="454"/>
      <c r="E18" s="455"/>
      <c r="F18" s="455"/>
      <c r="G18" s="1263" t="s">
        <v>2400</v>
      </c>
      <c r="H18" s="440"/>
      <c r="I18" s="440"/>
      <c r="J18" s="440"/>
      <c r="K18" s="441"/>
      <c r="L18" s="3168"/>
      <c r="M18" s="3168"/>
      <c r="N18" s="3168"/>
      <c r="O18" s="3168"/>
      <c r="P18" s="3168"/>
      <c r="Q18" s="3168"/>
      <c r="R18" s="3168"/>
      <c r="S18" s="3168"/>
      <c r="T18" s="3168"/>
      <c r="U18" s="3168"/>
      <c r="V18" s="3168"/>
      <c r="W18" s="3168"/>
      <c r="X18" s="3168"/>
      <c r="Y18" s="3168"/>
      <c r="Z18" s="3168"/>
    </row>
    <row r="19" spans="1:26" s="1975" customFormat="1" ht="13.5" customHeight="1">
      <c r="A19" s="1538" t="s">
        <v>1834</v>
      </c>
      <c r="B19" s="452" t="s">
        <v>487</v>
      </c>
      <c r="C19" s="453">
        <f ca="1">ROUND(C18*F19,0)</f>
        <v>853</v>
      </c>
      <c r="D19" s="454"/>
      <c r="E19" s="455"/>
      <c r="F19" s="459">
        <f>'数据-取费表'!B37</f>
        <v>2.5000000000000001E-2</v>
      </c>
      <c r="G19" s="437" t="s">
        <v>497</v>
      </c>
      <c r="H19" s="440"/>
      <c r="I19" s="440"/>
      <c r="J19" s="440"/>
      <c r="K19" s="441"/>
      <c r="L19" s="3170"/>
      <c r="M19" s="3170"/>
      <c r="N19" s="3170"/>
      <c r="O19" s="3168"/>
      <c r="P19" s="3168"/>
      <c r="Q19" s="3168"/>
      <c r="R19" s="3168"/>
      <c r="S19" s="3168"/>
      <c r="T19" s="3168"/>
      <c r="U19" s="3168"/>
      <c r="V19" s="3168"/>
      <c r="W19" s="3168"/>
      <c r="X19" s="3168"/>
      <c r="Y19" s="3168"/>
      <c r="Z19" s="3168"/>
    </row>
    <row r="20" spans="1:26" s="1977" customFormat="1" ht="13.5" customHeight="1">
      <c r="A20" s="1538" t="s">
        <v>1835</v>
      </c>
      <c r="B20" s="454" t="s">
        <v>488</v>
      </c>
      <c r="C20" s="463">
        <f ca="1">ROUND(IF('数据-取费表'!B22&lt;=1,(C18+C19)*F20*'数据-取费表'!B20/2,(C18+C19)*(POWER((1+F20),'数据-取费表'!B20/2)-1)),0)</f>
        <v>1522</v>
      </c>
      <c r="D20" s="455">
        <f ca="1">ROUND(((1+F20)^'数据-取费表'!B20)-1,4)</f>
        <v>8.8900000000000007E-2</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76" t="s">
        <v>2417</v>
      </c>
      <c r="M20" s="3177"/>
      <c r="N20" s="3177"/>
      <c r="O20" s="3177"/>
      <c r="P20" s="3177"/>
      <c r="Q20" s="3170"/>
      <c r="R20" s="3170"/>
      <c r="S20" s="3170"/>
      <c r="T20" s="3170"/>
      <c r="U20" s="3170"/>
      <c r="V20" s="3170"/>
      <c r="W20" s="3170"/>
      <c r="X20" s="3170"/>
      <c r="Y20" s="3170"/>
      <c r="Z20" s="3170"/>
    </row>
    <row r="21" spans="1:26" s="1976" customFormat="1" ht="13.5" customHeight="1">
      <c r="A21" s="1538" t="s">
        <v>2985</v>
      </c>
      <c r="B21" s="2713" t="s">
        <v>2788</v>
      </c>
      <c r="C21" s="471">
        <f ca="1">ROUND((C18+C19)*F21,0)</f>
        <v>4199</v>
      </c>
      <c r="D21" s="3255"/>
      <c r="E21" s="455"/>
      <c r="F21" s="472">
        <f ca="1">IF(B1="",'数据-取费表'!Q16,INDIRECT("'数据-取费表'!q"&amp;$K$1))</f>
        <v>0.12</v>
      </c>
      <c r="G21" s="437"/>
      <c r="H21" s="440"/>
      <c r="I21" s="440"/>
      <c r="J21" s="440"/>
      <c r="K21" s="441"/>
      <c r="L21" s="3169"/>
      <c r="M21" s="3169"/>
      <c r="N21" s="3169"/>
      <c r="O21" s="3169"/>
      <c r="P21" s="3169"/>
      <c r="Q21" s="3169"/>
      <c r="R21" s="3169"/>
      <c r="S21" s="3169"/>
      <c r="T21" s="3169"/>
      <c r="U21" s="3169"/>
      <c r="V21" s="3169"/>
      <c r="W21" s="3169"/>
      <c r="X21" s="3169"/>
      <c r="Y21" s="3169"/>
      <c r="Z21" s="3169"/>
    </row>
    <row r="22" spans="1:26" s="1977" customFormat="1" ht="13.5" customHeight="1">
      <c r="A22" s="1538" t="s">
        <v>1839</v>
      </c>
      <c r="B22" s="469" t="s">
        <v>498</v>
      </c>
      <c r="C22" s="476"/>
      <c r="D22" s="476"/>
      <c r="E22" s="477"/>
      <c r="F22" s="3257">
        <f ca="1">IF(B1="",'数据-取费表'!N16,INDIRECT("'数据-取费表'!N"&amp;$K$1))</f>
        <v>0</v>
      </c>
      <c r="G22" s="437"/>
      <c r="H22" s="440"/>
      <c r="I22" s="440"/>
      <c r="J22" s="440"/>
      <c r="K22" s="441"/>
      <c r="L22" s="3170"/>
      <c r="M22" s="3170"/>
      <c r="N22" s="3170"/>
      <c r="O22" s="3170"/>
      <c r="P22" s="3170"/>
      <c r="Q22" s="3170"/>
      <c r="R22" s="3170"/>
      <c r="S22" s="3170"/>
      <c r="T22" s="3170"/>
      <c r="U22" s="3170"/>
      <c r="V22" s="3170"/>
      <c r="W22" s="3170"/>
      <c r="X22" s="3170"/>
      <c r="Y22" s="3170"/>
      <c r="Z22" s="3170"/>
    </row>
    <row r="23" spans="1:26" s="1977" customFormat="1" ht="13.5" customHeight="1" thickBot="1">
      <c r="A23" s="3258" t="s">
        <v>1840</v>
      </c>
      <c r="B23" s="3259" t="s">
        <v>2986</v>
      </c>
      <c r="C23" s="3260">
        <f ca="1">ROUND((C18+C19+C20+C21)*F22,0)</f>
        <v>0</v>
      </c>
      <c r="D23" s="3261"/>
      <c r="E23" s="3262"/>
      <c r="F23" s="478"/>
      <c r="G23" s="429"/>
      <c r="H23" s="3263"/>
      <c r="I23" s="3263"/>
      <c r="J23" s="3263"/>
      <c r="K23" s="3264"/>
      <c r="L23" s="3170"/>
      <c r="M23" s="3170"/>
      <c r="N23" s="3170"/>
      <c r="O23" s="3170"/>
      <c r="P23" s="3170"/>
      <c r="Q23" s="3170"/>
      <c r="R23" s="3170"/>
      <c r="S23" s="3170"/>
      <c r="T23" s="3170"/>
      <c r="U23" s="3170"/>
      <c r="V23" s="3170"/>
      <c r="W23" s="3170"/>
      <c r="X23" s="3170"/>
      <c r="Y23" s="3170"/>
      <c r="Z23" s="3170"/>
    </row>
    <row r="24" spans="1:26" s="1977" customFormat="1" ht="13.5" customHeight="1" thickBot="1">
      <c r="A24" s="3543" t="s">
        <v>1845</v>
      </c>
      <c r="B24" s="3544"/>
      <c r="C24" s="3265">
        <f>ROUND(C6*F24/(1+'数据-取费表'!B42),0)</f>
        <v>0</v>
      </c>
      <c r="D24" s="3266"/>
      <c r="E24" s="3267"/>
      <c r="F24" s="3268">
        <f>'数据-取费表'!B41</f>
        <v>5.5000000000000007E-2</v>
      </c>
      <c r="G24" s="3269"/>
      <c r="H24" s="3269"/>
      <c r="I24" s="3269"/>
      <c r="J24" s="3269"/>
      <c r="K24" s="3270"/>
      <c r="L24" s="3170"/>
      <c r="M24" s="3170"/>
      <c r="N24" s="3170"/>
      <c r="O24" s="3170"/>
      <c r="P24" s="3170"/>
      <c r="Q24" s="3170"/>
      <c r="R24" s="3170"/>
      <c r="S24" s="3170"/>
      <c r="T24" s="3170"/>
      <c r="U24" s="3170"/>
      <c r="V24" s="3170"/>
      <c r="W24" s="3170"/>
      <c r="X24" s="3170"/>
      <c r="Y24" s="3170"/>
      <c r="Z24" s="3170"/>
    </row>
    <row r="25" spans="1:26" s="1977" customFormat="1" ht="13.5" customHeight="1" thickBot="1">
      <c r="A25" s="3543" t="s">
        <v>2983</v>
      </c>
      <c r="B25" s="3544"/>
      <c r="C25" s="3265">
        <f>ROUND(C6*F25,0)</f>
        <v>0</v>
      </c>
      <c r="D25" s="3266"/>
      <c r="E25" s="3267"/>
      <c r="F25" s="3271">
        <f>'数据-取费表'!B38</f>
        <v>0.03</v>
      </c>
      <c r="G25" s="3272"/>
      <c r="H25" s="3269"/>
      <c r="I25" s="3269"/>
      <c r="J25" s="3269"/>
      <c r="K25" s="3270"/>
      <c r="L25" s="3170"/>
      <c r="M25" s="3170"/>
      <c r="N25" s="3170"/>
      <c r="O25" s="3170"/>
      <c r="P25" s="3170"/>
      <c r="Q25" s="3170"/>
      <c r="R25" s="3170"/>
      <c r="S25" s="3170"/>
      <c r="T25" s="3170"/>
      <c r="U25" s="3170"/>
      <c r="V25" s="3170"/>
      <c r="W25" s="3170"/>
      <c r="X25" s="3170"/>
      <c r="Y25" s="3170"/>
      <c r="Z25" s="3170"/>
    </row>
    <row r="26" spans="1:26" s="1982" customFormat="1" ht="13.5" customHeight="1" thickBot="1">
      <c r="A26" s="3543" t="s">
        <v>2984</v>
      </c>
      <c r="B26" s="3544"/>
      <c r="C26" s="3277"/>
      <c r="D26" s="3278"/>
      <c r="E26" s="3278"/>
      <c r="F26" s="3279">
        <f>'数据-取费表'!B48+'数据-取费表'!B49</f>
        <v>3.0499999999999999E-2</v>
      </c>
      <c r="G26" s="3280"/>
      <c r="H26" s="3280"/>
      <c r="I26" s="3280"/>
      <c r="J26" s="3281"/>
      <c r="K26" s="3282"/>
      <c r="L26" s="3175"/>
      <c r="M26" s="3175"/>
      <c r="N26" s="3175"/>
      <c r="O26" s="3175"/>
      <c r="P26" s="3175"/>
      <c r="Q26" s="3175"/>
      <c r="R26" s="3175"/>
      <c r="S26" s="3175"/>
      <c r="T26" s="3175"/>
      <c r="U26" s="3175"/>
      <c r="V26" s="3175"/>
      <c r="W26" s="3175"/>
      <c r="X26" s="3175"/>
      <c r="Y26" s="3175"/>
      <c r="Z26" s="3175"/>
    </row>
    <row r="27" spans="1:26" s="3256" customFormat="1" ht="13.5" customHeight="1" thickBot="1">
      <c r="A27" s="3545" t="s">
        <v>2982</v>
      </c>
      <c r="B27" s="3546"/>
      <c r="C27" s="3273">
        <f ca="1">(C6-C23-C24-C25)/((1+F26)*(1+D20+F21))</f>
        <v>0</v>
      </c>
      <c r="D27" s="3274"/>
      <c r="E27" s="3274"/>
      <c r="F27" s="3274"/>
      <c r="G27" s="3275" t="s">
        <v>2913</v>
      </c>
      <c r="H27" s="3274"/>
      <c r="I27" s="3274"/>
      <c r="J27" s="3274"/>
      <c r="K27" s="3276"/>
    </row>
    <row r="28" spans="1:26" s="1971" customFormat="1">
      <c r="A28" s="3173"/>
      <c r="C28" s="3174"/>
      <c r="E28" s="3173"/>
    </row>
    <row r="29" spans="1:26" s="1971" customFormat="1" ht="12.75" customHeight="1">
      <c r="A29" s="3173"/>
      <c r="C29" s="3174"/>
      <c r="E29" s="3173"/>
    </row>
    <row r="30" spans="1:26" s="1971" customFormat="1">
      <c r="A30" s="3173"/>
      <c r="C30" s="3174"/>
      <c r="E30" s="3173"/>
    </row>
    <row r="31" spans="1:26" s="1971" customFormat="1">
      <c r="A31" s="3173"/>
      <c r="C31" s="3174"/>
      <c r="E31" s="3173"/>
    </row>
    <row r="32" spans="1:26" s="1971" customFormat="1">
      <c r="A32" s="3173"/>
      <c r="C32" s="3174"/>
      <c r="E32" s="3173"/>
    </row>
    <row r="33" spans="1:5" s="1971" customFormat="1">
      <c r="A33" s="3173"/>
      <c r="C33" s="3174"/>
      <c r="E33" s="3173"/>
    </row>
    <row r="34" spans="1:5" s="1971" customFormat="1">
      <c r="A34" s="3173"/>
      <c r="C34" s="3174"/>
      <c r="E34" s="3173"/>
    </row>
    <row r="35" spans="1:5" s="1971" customFormat="1">
      <c r="A35" s="3173"/>
      <c r="C35" s="3174"/>
      <c r="E35" s="3173"/>
    </row>
    <row r="36" spans="1:5" s="1971" customFormat="1">
      <c r="A36" s="3173"/>
      <c r="C36" s="3174"/>
      <c r="E36" s="3173"/>
    </row>
    <row r="37" spans="1:5" s="1971" customFormat="1">
      <c r="A37" s="3173"/>
      <c r="C37" s="3174"/>
      <c r="E37" s="3173"/>
    </row>
    <row r="38" spans="1:5" s="1971" customFormat="1">
      <c r="A38" s="3173"/>
      <c r="C38" s="3174"/>
      <c r="E38" s="3173"/>
    </row>
    <row r="39" spans="1:5" s="1971" customFormat="1">
      <c r="A39" s="3173"/>
      <c r="C39" s="3174"/>
      <c r="E39" s="3173"/>
    </row>
    <row r="40" spans="1:5" s="1971" customFormat="1">
      <c r="A40" s="3173"/>
      <c r="C40" s="3174"/>
      <c r="E40" s="3173"/>
    </row>
    <row r="41" spans="1:5" s="1971" customFormat="1">
      <c r="A41" s="3173"/>
      <c r="C41" s="3174"/>
      <c r="E41" s="3173"/>
    </row>
    <row r="42" spans="1:5" s="1971" customFormat="1">
      <c r="A42" s="3173"/>
      <c r="C42" s="3174"/>
      <c r="E42" s="3173"/>
    </row>
    <row r="43" spans="1:5" s="1971" customFormat="1">
      <c r="A43" s="3173"/>
      <c r="C43" s="3174"/>
      <c r="E43" s="3173"/>
    </row>
    <row r="44" spans="1:5" s="1971" customFormat="1">
      <c r="A44" s="3173"/>
      <c r="C44" s="3174"/>
      <c r="E44" s="3173"/>
    </row>
    <row r="45" spans="1:5" s="1971" customFormat="1">
      <c r="A45" s="3173"/>
      <c r="C45" s="3174"/>
      <c r="E45" s="3173"/>
    </row>
    <row r="46" spans="1:5" s="1971" customFormat="1">
      <c r="A46" s="3173"/>
      <c r="C46" s="3174"/>
      <c r="E46" s="3173"/>
    </row>
    <row r="47" spans="1:5" s="1971" customFormat="1">
      <c r="A47" s="3173"/>
      <c r="C47" s="3174"/>
      <c r="E47" s="3173"/>
    </row>
    <row r="48" spans="1:5"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485" t="e">
        <f>F63</f>
        <v>#DIV/0!</v>
      </c>
      <c r="C2" s="3190"/>
      <c r="D2" s="3190"/>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c r="A3" s="1307" t="s">
        <v>1665</v>
      </c>
      <c r="B3" s="487" t="e">
        <f>ROUND(B2*10000/'数据-汇总表'!E3,0)</f>
        <v>#DIV/0!</v>
      </c>
      <c r="C3" s="3189"/>
      <c r="D3" s="3189"/>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89"/>
      <c r="D4" s="3189"/>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3181"/>
      <c r="AC5" s="1918"/>
    </row>
    <row r="6" spans="1:29" ht="15">
      <c r="A6" s="489" t="s">
        <v>504</v>
      </c>
      <c r="B6" s="490"/>
      <c r="C6" s="3493" t="s">
        <v>505</v>
      </c>
      <c r="D6" s="3494"/>
      <c r="E6" s="3549" t="s">
        <v>506</v>
      </c>
      <c r="F6" s="3550"/>
      <c r="G6" s="3493" t="s">
        <v>507</v>
      </c>
      <c r="H6" s="3494"/>
      <c r="I6" s="3493" t="s">
        <v>508</v>
      </c>
      <c r="J6" s="3494"/>
      <c r="K6" s="491" t="s">
        <v>509</v>
      </c>
      <c r="L6" s="1989"/>
      <c r="M6" s="1990"/>
      <c r="N6" s="1990"/>
      <c r="O6" s="1990"/>
      <c r="P6" s="3495" t="s">
        <v>510</v>
      </c>
      <c r="Q6" s="3496"/>
      <c r="R6" s="3501" t="s">
        <v>506</v>
      </c>
      <c r="S6" s="3502"/>
      <c r="T6" s="3501" t="s">
        <v>507</v>
      </c>
      <c r="U6" s="3502"/>
      <c r="V6" s="3488" t="s">
        <v>508</v>
      </c>
      <c r="W6" s="3488"/>
      <c r="X6" s="1477"/>
      <c r="Y6" s="3501" t="s">
        <v>510</v>
      </c>
      <c r="Z6" s="3502"/>
      <c r="AA6" s="3490" t="s">
        <v>506</v>
      </c>
      <c r="AB6" s="3491" t="s">
        <v>507</v>
      </c>
      <c r="AC6" s="3490" t="s">
        <v>508</v>
      </c>
    </row>
    <row r="7" spans="1:29" ht="15">
      <c r="A7" s="492"/>
      <c r="B7" s="493"/>
      <c r="C7" s="3509" t="s">
        <v>2873</v>
      </c>
      <c r="D7" s="3510"/>
      <c r="E7" s="3551" t="s">
        <v>2874</v>
      </c>
      <c r="F7" s="3552"/>
      <c r="G7" s="3509" t="s">
        <v>2875</v>
      </c>
      <c r="H7" s="3510"/>
      <c r="I7" s="3509" t="s">
        <v>2876</v>
      </c>
      <c r="J7" s="3510"/>
      <c r="K7" s="491"/>
      <c r="L7" s="1989"/>
      <c r="M7" s="1990"/>
      <c r="N7" s="1990"/>
      <c r="O7" s="1990"/>
      <c r="P7" s="3497"/>
      <c r="Q7" s="3498"/>
      <c r="R7" s="3503"/>
      <c r="S7" s="3504"/>
      <c r="T7" s="3503"/>
      <c r="U7" s="3504"/>
      <c r="V7" s="3488"/>
      <c r="W7" s="3488"/>
      <c r="X7" s="1477"/>
      <c r="Y7" s="3503"/>
      <c r="Z7" s="3504"/>
      <c r="AA7" s="3491"/>
      <c r="AB7" s="3491"/>
      <c r="AC7" s="3491"/>
    </row>
    <row r="8" spans="1:29" ht="15.75" thickBot="1">
      <c r="A8" s="494"/>
      <c r="B8" s="495"/>
      <c r="C8" s="3507" t="s">
        <v>2877</v>
      </c>
      <c r="D8" s="3508"/>
      <c r="E8" s="3547" t="s">
        <v>2877</v>
      </c>
      <c r="F8" s="3548"/>
      <c r="G8" s="3507" t="s">
        <v>2877</v>
      </c>
      <c r="H8" s="3508"/>
      <c r="I8" s="3507" t="s">
        <v>2877</v>
      </c>
      <c r="J8" s="3508"/>
      <c r="K8" s="491" t="s">
        <v>511</v>
      </c>
      <c r="L8" s="1989"/>
      <c r="M8" s="1990"/>
      <c r="N8" s="1990"/>
      <c r="O8" s="1990"/>
      <c r="P8" s="3499"/>
      <c r="Q8" s="3500"/>
      <c r="R8" s="3503"/>
      <c r="S8" s="3504"/>
      <c r="T8" s="3505"/>
      <c r="U8" s="3506"/>
      <c r="V8" s="3488"/>
      <c r="W8" s="3488"/>
      <c r="X8" s="1477"/>
      <c r="Y8" s="3505"/>
      <c r="Z8" s="3506"/>
      <c r="AA8" s="3492"/>
      <c r="AB8" s="3492"/>
      <c r="AC8" s="3492"/>
    </row>
    <row r="9" spans="1:29" s="1186" customFormat="1" ht="15.75" thickBot="1">
      <c r="A9" s="2600"/>
      <c r="B9" s="2607" t="s">
        <v>512</v>
      </c>
      <c r="C9" s="496">
        <f>'数据-取费表'!B2</f>
        <v>44574</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518" t="s">
        <v>513</v>
      </c>
      <c r="Q9" s="3520"/>
      <c r="R9" s="1478" t="s">
        <v>8</v>
      </c>
      <c r="S9" s="1479">
        <f t="shared" ref="S9:S17" si="0">F9</f>
        <v>0</v>
      </c>
      <c r="T9" s="1478" t="s">
        <v>8</v>
      </c>
      <c r="U9" s="1479">
        <f t="shared" ref="U9:U17" si="1">H9</f>
        <v>0</v>
      </c>
      <c r="V9" s="1478" t="s">
        <v>8</v>
      </c>
      <c r="W9" s="1479">
        <f t="shared" ref="W9:W17" si="2">J9</f>
        <v>0</v>
      </c>
      <c r="X9" s="1480"/>
      <c r="Y9" s="3518" t="s">
        <v>513</v>
      </c>
      <c r="Z9" s="3519"/>
      <c r="AA9" s="1481" t="e">
        <f>D9/F9</f>
        <v>#DIV/0!</v>
      </c>
      <c r="AB9" s="1481" t="e">
        <f>D9/H9</f>
        <v>#DIV/0!</v>
      </c>
      <c r="AC9" s="1481" t="e">
        <f>D9/J9</f>
        <v>#DIV/0!</v>
      </c>
    </row>
    <row r="10" spans="1:29" s="1186" customFormat="1" ht="15.75" thickBot="1">
      <c r="A10" s="2601"/>
      <c r="B10" s="2608"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518" t="s">
        <v>516</v>
      </c>
      <c r="Q10" s="3519"/>
      <c r="R10" s="1478" t="s">
        <v>8</v>
      </c>
      <c r="S10" s="1479">
        <f t="shared" si="0"/>
        <v>0</v>
      </c>
      <c r="T10" s="1478" t="s">
        <v>8</v>
      </c>
      <c r="U10" s="1479">
        <f t="shared" si="1"/>
        <v>0</v>
      </c>
      <c r="V10" s="1478" t="s">
        <v>8</v>
      </c>
      <c r="W10" s="1479">
        <f t="shared" si="2"/>
        <v>0</v>
      </c>
      <c r="X10" s="1480"/>
      <c r="Y10" s="3518" t="s">
        <v>516</v>
      </c>
      <c r="Z10" s="3519"/>
      <c r="AA10" s="1481" t="e">
        <f t="shared" ref="AA10:AA42" si="3">D10/F10</f>
        <v>#DIV/0!</v>
      </c>
      <c r="AB10" s="1481" t="e">
        <f t="shared" ref="AB10:AB42" si="4">D10/H10</f>
        <v>#DIV/0!</v>
      </c>
      <c r="AC10" s="1481" t="e">
        <f t="shared" ref="AC10:AC42" si="5">D10/J10</f>
        <v>#DIV/0!</v>
      </c>
    </row>
    <row r="11" spans="1:29" s="1186" customFormat="1" ht="15">
      <c r="A11" s="2602"/>
      <c r="B11" s="2609" t="s">
        <v>2715</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487" t="s">
        <v>518</v>
      </c>
      <c r="Q11" s="1117" t="str">
        <f t="shared" ref="Q11:Q17" si="6">B11</f>
        <v>用途</v>
      </c>
      <c r="R11" s="1478" t="s">
        <v>8</v>
      </c>
      <c r="S11" s="1479">
        <f t="shared" si="0"/>
        <v>100</v>
      </c>
      <c r="T11" s="1478" t="s">
        <v>8</v>
      </c>
      <c r="U11" s="1479">
        <f t="shared" si="1"/>
        <v>100</v>
      </c>
      <c r="V11" s="1478" t="s">
        <v>8</v>
      </c>
      <c r="W11" s="1479">
        <f t="shared" si="2"/>
        <v>100</v>
      </c>
      <c r="X11" s="1480"/>
      <c r="Y11" s="3433" t="s">
        <v>519</v>
      </c>
      <c r="Z11" s="1116" t="str">
        <f t="shared" ref="Z11:Z17" si="7">Q11</f>
        <v>用途</v>
      </c>
      <c r="AA11" s="1481">
        <f t="shared" si="3"/>
        <v>1</v>
      </c>
      <c r="AB11" s="1481">
        <f t="shared" si="4"/>
        <v>1</v>
      </c>
      <c r="AC11" s="1481">
        <f t="shared" si="5"/>
        <v>1</v>
      </c>
    </row>
    <row r="12" spans="1:29" s="1267" customFormat="1" ht="27">
      <c r="A12" s="2603"/>
      <c r="B12" s="2608" t="s">
        <v>2716</v>
      </c>
      <c r="C12" s="505"/>
      <c r="D12" s="253">
        <v>100</v>
      </c>
      <c r="E12" s="505"/>
      <c r="F12" s="253">
        <f>ROUND(100/'数据-取费表'!G16,0)</f>
        <v>100</v>
      </c>
      <c r="G12" s="505"/>
      <c r="H12" s="253">
        <f>ROUND(100/'数据-取费表'!G16,0)</f>
        <v>100</v>
      </c>
      <c r="I12" s="505"/>
      <c r="J12" s="253">
        <f>ROUND(100/'数据-取费表'!G16,0)</f>
        <v>100</v>
      </c>
      <c r="K12" s="508"/>
      <c r="L12" s="1994"/>
      <c r="M12" s="2033"/>
      <c r="N12" s="2033"/>
      <c r="O12" s="1995"/>
      <c r="P12" s="3487"/>
      <c r="Q12" s="1117" t="str">
        <f t="shared" si="6"/>
        <v>土地使用年限（年）</v>
      </c>
      <c r="R12" s="1478" t="s">
        <v>8</v>
      </c>
      <c r="S12" s="1479">
        <f t="shared" si="0"/>
        <v>100</v>
      </c>
      <c r="T12" s="1478" t="s">
        <v>8</v>
      </c>
      <c r="U12" s="1479">
        <f t="shared" si="1"/>
        <v>100</v>
      </c>
      <c r="V12" s="1478" t="s">
        <v>8</v>
      </c>
      <c r="W12" s="1479">
        <f t="shared" si="2"/>
        <v>100</v>
      </c>
      <c r="X12" s="1480"/>
      <c r="Y12" s="3433"/>
      <c r="Z12" s="1116" t="str">
        <f t="shared" si="7"/>
        <v>土地使用年限（年）</v>
      </c>
      <c r="AA12" s="1481">
        <f t="shared" si="3"/>
        <v>1</v>
      </c>
      <c r="AB12" s="1481">
        <f t="shared" si="4"/>
        <v>1</v>
      </c>
      <c r="AC12" s="1481">
        <f t="shared" si="5"/>
        <v>1</v>
      </c>
    </row>
    <row r="13" spans="1:29" ht="15">
      <c r="A13" s="2604"/>
      <c r="B13" s="2608" t="s">
        <v>2717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487"/>
      <c r="Q13" s="1117" t="str">
        <f t="shared" si="6"/>
        <v>容积率</v>
      </c>
      <c r="R13" s="1478" t="s">
        <v>8</v>
      </c>
      <c r="S13" s="1479" t="e">
        <f t="shared" si="0"/>
        <v>#N/A</v>
      </c>
      <c r="T13" s="1478" t="s">
        <v>8</v>
      </c>
      <c r="U13" s="1479" t="e">
        <f t="shared" si="1"/>
        <v>#N/A</v>
      </c>
      <c r="V13" s="1478" t="s">
        <v>8</v>
      </c>
      <c r="W13" s="1479" t="e">
        <f t="shared" si="2"/>
        <v>#N/A</v>
      </c>
      <c r="X13" s="1480"/>
      <c r="Y13" s="3433"/>
      <c r="Z13" s="1116" t="str">
        <f t="shared" si="7"/>
        <v>容积率</v>
      </c>
      <c r="AA13" s="1481" t="e">
        <f t="shared" si="3"/>
        <v>#N/A</v>
      </c>
      <c r="AB13" s="1481" t="e">
        <f t="shared" si="4"/>
        <v>#N/A</v>
      </c>
      <c r="AC13" s="1481" t="e">
        <f t="shared" si="5"/>
        <v>#N/A</v>
      </c>
    </row>
    <row r="14" spans="1:29" s="1186" customFormat="1" ht="15">
      <c r="A14" s="2605"/>
      <c r="B14" s="2611">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487"/>
      <c r="Q14" s="1117">
        <f t="shared" si="6"/>
        <v>111</v>
      </c>
      <c r="R14" s="1478" t="s">
        <v>8</v>
      </c>
      <c r="S14" s="1479">
        <f t="shared" si="0"/>
        <v>100</v>
      </c>
      <c r="T14" s="1478" t="s">
        <v>8</v>
      </c>
      <c r="U14" s="1479">
        <f t="shared" si="1"/>
        <v>100</v>
      </c>
      <c r="V14" s="1478" t="s">
        <v>8</v>
      </c>
      <c r="W14" s="1479">
        <f t="shared" si="2"/>
        <v>100</v>
      </c>
      <c r="X14" s="1480"/>
      <c r="Y14" s="3433"/>
      <c r="Z14" s="1116">
        <f t="shared" si="7"/>
        <v>111</v>
      </c>
      <c r="AA14" s="1481">
        <f>D14/F14</f>
        <v>1</v>
      </c>
      <c r="AB14" s="1481">
        <f>D14/H14</f>
        <v>1</v>
      </c>
      <c r="AC14" s="1481">
        <f>D14/J14</f>
        <v>1</v>
      </c>
    </row>
    <row r="15" spans="1:29" ht="15">
      <c r="A15" s="2605"/>
      <c r="B15" s="2611">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487"/>
      <c r="Q15" s="1117">
        <f t="shared" si="6"/>
        <v>111</v>
      </c>
      <c r="R15" s="1478" t="s">
        <v>8</v>
      </c>
      <c r="S15" s="1479">
        <f t="shared" si="0"/>
        <v>100</v>
      </c>
      <c r="T15" s="1478" t="s">
        <v>8</v>
      </c>
      <c r="U15" s="1479">
        <f t="shared" si="1"/>
        <v>100</v>
      </c>
      <c r="V15" s="1478" t="s">
        <v>8</v>
      </c>
      <c r="W15" s="1479">
        <f t="shared" si="2"/>
        <v>100</v>
      </c>
      <c r="X15" s="1480"/>
      <c r="Y15" s="3433"/>
      <c r="Z15" s="1116">
        <f t="shared" si="7"/>
        <v>111</v>
      </c>
      <c r="AA15" s="1481">
        <f t="shared" si="3"/>
        <v>1</v>
      </c>
      <c r="AB15" s="1481">
        <f t="shared" si="4"/>
        <v>1</v>
      </c>
      <c r="AC15" s="1481">
        <f t="shared" si="5"/>
        <v>1</v>
      </c>
    </row>
    <row r="16" spans="1:29" ht="15.75" thickBot="1">
      <c r="A16" s="2606"/>
      <c r="B16" s="2612">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487"/>
      <c r="Q16" s="1117">
        <f t="shared" si="6"/>
        <v>111</v>
      </c>
      <c r="R16" s="1478" t="s">
        <v>8</v>
      </c>
      <c r="S16" s="1479">
        <f t="shared" si="0"/>
        <v>100</v>
      </c>
      <c r="T16" s="1478" t="s">
        <v>8</v>
      </c>
      <c r="U16" s="1479">
        <f t="shared" si="1"/>
        <v>100</v>
      </c>
      <c r="V16" s="1478" t="s">
        <v>8</v>
      </c>
      <c r="W16" s="1479">
        <f t="shared" si="2"/>
        <v>100</v>
      </c>
      <c r="X16" s="1480"/>
      <c r="Y16" s="3433"/>
      <c r="Z16" s="1116">
        <f t="shared" si="7"/>
        <v>111</v>
      </c>
      <c r="AA16" s="1481">
        <f t="shared" si="3"/>
        <v>1</v>
      </c>
      <c r="AB16" s="1481">
        <f t="shared" si="4"/>
        <v>1</v>
      </c>
      <c r="AC16" s="1481">
        <f t="shared" si="5"/>
        <v>1</v>
      </c>
    </row>
    <row r="17" spans="1:29" ht="57">
      <c r="A17" s="2598" t="s">
        <v>2713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521" t="s">
        <v>523</v>
      </c>
      <c r="Q17" s="1482" t="str">
        <f t="shared" si="6"/>
        <v>产业集聚程度</v>
      </c>
      <c r="R17" s="1483" t="s">
        <v>8</v>
      </c>
      <c r="S17" s="1484">
        <f t="shared" si="0"/>
        <v>100</v>
      </c>
      <c r="T17" s="1483" t="s">
        <v>8</v>
      </c>
      <c r="U17" s="1484">
        <f t="shared" si="1"/>
        <v>100</v>
      </c>
      <c r="V17" s="1483" t="s">
        <v>8</v>
      </c>
      <c r="W17" s="1484">
        <f t="shared" si="2"/>
        <v>100</v>
      </c>
      <c r="X17" s="1477"/>
      <c r="Y17" s="3521"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522"/>
      <c r="Q18" s="1482"/>
      <c r="R18" s="1483"/>
      <c r="S18" s="1484"/>
      <c r="T18" s="1483"/>
      <c r="U18" s="1484"/>
      <c r="V18" s="1483"/>
      <c r="W18" s="1484"/>
      <c r="X18" s="1477"/>
      <c r="Y18" s="3522"/>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522"/>
      <c r="Q19" s="1482" t="str">
        <f>B19</f>
        <v>交通便捷度</v>
      </c>
      <c r="R19" s="1483" t="s">
        <v>8</v>
      </c>
      <c r="S19" s="1484">
        <f>F19</f>
        <v>100</v>
      </c>
      <c r="T19" s="1483" t="s">
        <v>8</v>
      </c>
      <c r="U19" s="1484">
        <f>H19</f>
        <v>100</v>
      </c>
      <c r="V19" s="1483" t="s">
        <v>8</v>
      </c>
      <c r="W19" s="1484">
        <f>J19</f>
        <v>100</v>
      </c>
      <c r="X19" s="1477"/>
      <c r="Y19" s="3522"/>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522"/>
      <c r="Q20" s="1482"/>
      <c r="R20" s="1483"/>
      <c r="S20" s="1484"/>
      <c r="T20" s="1483"/>
      <c r="U20" s="1484"/>
      <c r="V20" s="1483"/>
      <c r="W20" s="1484"/>
      <c r="X20" s="1477"/>
      <c r="Y20" s="3522"/>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522"/>
      <c r="Q21" s="1482" t="str">
        <f t="shared" ref="Q21:Q35" si="8">B21</f>
        <v>区域土地利用方向</v>
      </c>
      <c r="R21" s="1483" t="s">
        <v>8</v>
      </c>
      <c r="S21" s="1484">
        <f>F21</f>
        <v>100</v>
      </c>
      <c r="T21" s="1483" t="s">
        <v>8</v>
      </c>
      <c r="U21" s="1484">
        <f>H21</f>
        <v>100</v>
      </c>
      <c r="V21" s="1483" t="s">
        <v>8</v>
      </c>
      <c r="W21" s="1484">
        <f>J21</f>
        <v>100</v>
      </c>
      <c r="X21" s="1477"/>
      <c r="Y21" s="3522"/>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522"/>
      <c r="Q22" s="1482"/>
      <c r="R22" s="1483"/>
      <c r="S22" s="1484"/>
      <c r="T22" s="1483"/>
      <c r="U22" s="1484"/>
      <c r="V22" s="1483"/>
      <c r="W22" s="1484"/>
      <c r="X22" s="1477"/>
      <c r="Y22" s="3522"/>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522"/>
      <c r="Q23" s="1482" t="str">
        <f t="shared" si="8"/>
        <v>环境状况</v>
      </c>
      <c r="R23" s="1483" t="s">
        <v>8</v>
      </c>
      <c r="S23" s="1484">
        <f>F23</f>
        <v>100</v>
      </c>
      <c r="T23" s="1483" t="s">
        <v>8</v>
      </c>
      <c r="U23" s="1484">
        <f>H23</f>
        <v>100</v>
      </c>
      <c r="V23" s="1483" t="s">
        <v>8</v>
      </c>
      <c r="W23" s="1484">
        <f>J23</f>
        <v>100</v>
      </c>
      <c r="X23" s="1477"/>
      <c r="Y23" s="3522"/>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522"/>
      <c r="Q24" s="1482"/>
      <c r="R24" s="1483"/>
      <c r="S24" s="1484"/>
      <c r="T24" s="1483"/>
      <c r="U24" s="1484"/>
      <c r="V24" s="1483"/>
      <c r="W24" s="1484"/>
      <c r="X24" s="1477"/>
      <c r="Y24" s="3522"/>
      <c r="Z24" s="1485"/>
      <c r="AA24" s="1486">
        <v>1</v>
      </c>
      <c r="AB24" s="1486">
        <v>1</v>
      </c>
      <c r="AC24" s="1486">
        <v>1</v>
      </c>
    </row>
    <row r="25" spans="1:29" s="1186" customFormat="1" ht="42.75">
      <c r="A25" s="554"/>
      <c r="B25" s="2408" t="s">
        <v>2509</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522"/>
      <c r="Q25" s="1117" t="str">
        <f t="shared" si="8"/>
        <v>公共配套设施</v>
      </c>
      <c r="R25" s="1478" t="s">
        <v>8</v>
      </c>
      <c r="S25" s="1479">
        <f>F25</f>
        <v>100</v>
      </c>
      <c r="T25" s="1478" t="s">
        <v>8</v>
      </c>
      <c r="U25" s="1479">
        <f>H25</f>
        <v>100</v>
      </c>
      <c r="V25" s="1478" t="s">
        <v>8</v>
      </c>
      <c r="W25" s="1479">
        <f>J25</f>
        <v>100</v>
      </c>
      <c r="X25" s="1480"/>
      <c r="Y25" s="3522"/>
      <c r="Z25" s="1116" t="str">
        <f>Q25</f>
        <v>公共配套设施</v>
      </c>
      <c r="AA25" s="1486">
        <f>D25/F25</f>
        <v>1</v>
      </c>
      <c r="AB25" s="1486">
        <f>D25/H25</f>
        <v>1</v>
      </c>
      <c r="AC25" s="1486">
        <f>D25/J25</f>
        <v>1</v>
      </c>
    </row>
    <row r="26" spans="1:29" s="1186" customFormat="1" ht="15">
      <c r="A26" s="554"/>
      <c r="B26" s="572"/>
      <c r="C26" s="2407"/>
      <c r="D26" s="532"/>
      <c r="E26" s="531"/>
      <c r="F26" s="532"/>
      <c r="G26" s="531"/>
      <c r="H26" s="532"/>
      <c r="I26" s="553"/>
      <c r="J26" s="532"/>
      <c r="K26" s="508"/>
      <c r="L26" s="1991"/>
      <c r="M26" s="1992"/>
      <c r="N26" s="1992"/>
      <c r="O26" s="1993"/>
      <c r="P26" s="3522"/>
      <c r="Q26" s="1117"/>
      <c r="R26" s="1478"/>
      <c r="S26" s="1479"/>
      <c r="T26" s="1478"/>
      <c r="U26" s="1479"/>
      <c r="V26" s="1478"/>
      <c r="W26" s="1479"/>
      <c r="X26" s="1480"/>
      <c r="Y26" s="3522"/>
      <c r="Z26" s="1116"/>
      <c r="AA26" s="1481">
        <v>1</v>
      </c>
      <c r="AB26" s="1481">
        <v>1</v>
      </c>
      <c r="AC26" s="1481">
        <v>1</v>
      </c>
    </row>
    <row r="27" spans="1:29" s="1186" customFormat="1" ht="28.5">
      <c r="A27" s="554"/>
      <c r="B27" s="2408" t="s">
        <v>2510</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522"/>
      <c r="Q27" s="2399" t="str">
        <f t="shared" ref="Q27" si="9">B27</f>
        <v>基础设施水平</v>
      </c>
      <c r="R27" s="1478" t="s">
        <v>8</v>
      </c>
      <c r="S27" s="1479">
        <f>F27</f>
        <v>100</v>
      </c>
      <c r="T27" s="1478" t="s">
        <v>8</v>
      </c>
      <c r="U27" s="1479">
        <f>H27</f>
        <v>100</v>
      </c>
      <c r="V27" s="1478" t="s">
        <v>8</v>
      </c>
      <c r="W27" s="1479">
        <f>J27</f>
        <v>100</v>
      </c>
      <c r="X27" s="1480"/>
      <c r="Y27" s="3522"/>
      <c r="Z27" s="2398" t="str">
        <f>Q27</f>
        <v>基础设施水平</v>
      </c>
      <c r="AA27" s="1486">
        <f>D27/F27</f>
        <v>1</v>
      </c>
      <c r="AB27" s="1486">
        <f>D27/H27</f>
        <v>1</v>
      </c>
      <c r="AC27" s="1486">
        <f>D27/J27</f>
        <v>1</v>
      </c>
    </row>
    <row r="28" spans="1:29" s="1186" customFormat="1" ht="15">
      <c r="A28" s="554"/>
      <c r="B28" s="572"/>
      <c r="C28" s="2407"/>
      <c r="D28" s="532"/>
      <c r="E28" s="556"/>
      <c r="F28" s="532"/>
      <c r="G28" s="556"/>
      <c r="H28" s="532"/>
      <c r="I28" s="556"/>
      <c r="J28" s="532"/>
      <c r="K28" s="508"/>
      <c r="L28" s="1991"/>
      <c r="M28" s="1992"/>
      <c r="N28" s="1992"/>
      <c r="O28" s="1993"/>
      <c r="P28" s="3522"/>
      <c r="Q28" s="2399"/>
      <c r="R28" s="1478"/>
      <c r="S28" s="1479"/>
      <c r="T28" s="1478"/>
      <c r="U28" s="1479"/>
      <c r="V28" s="1478"/>
      <c r="W28" s="1479"/>
      <c r="X28" s="1480"/>
      <c r="Y28" s="3522"/>
      <c r="Z28" s="2398"/>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522"/>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522"/>
      <c r="Z29" s="1485" t="str">
        <f t="shared" ref="Z29:Z42" si="13">Q29</f>
        <v>临街状况</v>
      </c>
      <c r="AA29" s="1486">
        <f t="shared" si="3"/>
        <v>1</v>
      </c>
      <c r="AB29" s="1486">
        <f t="shared" si="4"/>
        <v>1</v>
      </c>
      <c r="AC29" s="1486">
        <f t="shared" si="5"/>
        <v>1</v>
      </c>
    </row>
    <row r="30" spans="1:29" ht="27">
      <c r="A30" s="509"/>
      <c r="B30" s="894" t="s">
        <v>531</v>
      </c>
      <c r="C30" s="2410">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522"/>
      <c r="Q30" s="1482" t="str">
        <f t="shared" si="8"/>
        <v>毗邻道路的类型与等级</v>
      </c>
      <c r="R30" s="1483" t="s">
        <v>8</v>
      </c>
      <c r="S30" s="1484">
        <f t="shared" si="10"/>
        <v>100</v>
      </c>
      <c r="T30" s="1483" t="s">
        <v>8</v>
      </c>
      <c r="U30" s="1484">
        <f t="shared" si="11"/>
        <v>100</v>
      </c>
      <c r="V30" s="1483" t="s">
        <v>8</v>
      </c>
      <c r="W30" s="1484">
        <f t="shared" si="12"/>
        <v>100</v>
      </c>
      <c r="X30" s="1477"/>
      <c r="Y30" s="3522"/>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522"/>
      <c r="Q31" s="1482"/>
      <c r="R31" s="1483"/>
      <c r="S31" s="1484"/>
      <c r="T31" s="1483"/>
      <c r="U31" s="1484"/>
      <c r="V31" s="1483"/>
      <c r="W31" s="1484"/>
      <c r="X31" s="1477"/>
      <c r="Y31" s="3522"/>
      <c r="Z31" s="1485"/>
      <c r="AA31" s="1486">
        <v>1</v>
      </c>
      <c r="AB31" s="1486">
        <v>1</v>
      </c>
      <c r="AC31" s="1486">
        <v>1</v>
      </c>
    </row>
    <row r="32" spans="1:29" ht="15">
      <c r="A32" s="509"/>
      <c r="B32" s="504" t="s">
        <v>532</v>
      </c>
      <c r="C32" s="2411">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522"/>
      <c r="Q32" s="1482" t="str">
        <f t="shared" si="8"/>
        <v>土地级别</v>
      </c>
      <c r="R32" s="1483" t="s">
        <v>8</v>
      </c>
      <c r="S32" s="1484">
        <f t="shared" si="10"/>
        <v>100</v>
      </c>
      <c r="T32" s="1483" t="s">
        <v>8</v>
      </c>
      <c r="U32" s="1484">
        <f t="shared" si="11"/>
        <v>100</v>
      </c>
      <c r="V32" s="1483" t="s">
        <v>8</v>
      </c>
      <c r="W32" s="1484">
        <f t="shared" si="12"/>
        <v>100</v>
      </c>
      <c r="X32" s="1477"/>
      <c r="Y32" s="3522"/>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522"/>
      <c r="Q33" s="1482">
        <f t="shared" si="8"/>
        <v>111</v>
      </c>
      <c r="R33" s="1483" t="s">
        <v>8</v>
      </c>
      <c r="S33" s="1484">
        <f t="shared" si="10"/>
        <v>100</v>
      </c>
      <c r="T33" s="1483" t="s">
        <v>8</v>
      </c>
      <c r="U33" s="1484">
        <f t="shared" si="11"/>
        <v>100</v>
      </c>
      <c r="V33" s="1483" t="s">
        <v>8</v>
      </c>
      <c r="W33" s="1484">
        <f t="shared" si="12"/>
        <v>100</v>
      </c>
      <c r="X33" s="1477"/>
      <c r="Y33" s="3522"/>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523" t="s">
        <v>533</v>
      </c>
      <c r="Q34" s="1482">
        <f t="shared" si="8"/>
        <v>111</v>
      </c>
      <c r="R34" s="1483" t="s">
        <v>8</v>
      </c>
      <c r="S34" s="1484">
        <f t="shared" si="10"/>
        <v>100</v>
      </c>
      <c r="T34" s="1483" t="s">
        <v>8</v>
      </c>
      <c r="U34" s="1484">
        <f t="shared" si="11"/>
        <v>100</v>
      </c>
      <c r="V34" s="1483" t="s">
        <v>8</v>
      </c>
      <c r="W34" s="1484">
        <f t="shared" si="12"/>
        <v>100</v>
      </c>
      <c r="X34" s="1477"/>
      <c r="Y34" s="3524" t="s">
        <v>533</v>
      </c>
      <c r="Z34" s="1485">
        <f t="shared" si="13"/>
        <v>111</v>
      </c>
      <c r="AA34" s="1486">
        <f t="shared" si="3"/>
        <v>1</v>
      </c>
      <c r="AB34" s="1486">
        <f t="shared" si="4"/>
        <v>1</v>
      </c>
      <c r="AC34" s="1486">
        <f t="shared" si="5"/>
        <v>1</v>
      </c>
    </row>
    <row r="35" spans="1:29" s="1268" customFormat="1" ht="15.75" thickBot="1">
      <c r="A35" s="566"/>
      <c r="B35" s="2409">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524"/>
      <c r="Q35" s="1482">
        <f t="shared" si="8"/>
        <v>111</v>
      </c>
      <c r="R35" s="1487" t="s">
        <v>8</v>
      </c>
      <c r="S35" s="1488">
        <f t="shared" si="10"/>
        <v>100</v>
      </c>
      <c r="T35" s="1487" t="s">
        <v>8</v>
      </c>
      <c r="U35" s="1488">
        <f t="shared" si="11"/>
        <v>100</v>
      </c>
      <c r="V35" s="1487" t="s">
        <v>8</v>
      </c>
      <c r="W35" s="1488">
        <f t="shared" si="12"/>
        <v>100</v>
      </c>
      <c r="X35" s="1489"/>
      <c r="Y35" s="3524"/>
      <c r="Z35" s="1490">
        <f t="shared" si="13"/>
        <v>111</v>
      </c>
      <c r="AA35" s="1486">
        <f t="shared" si="3"/>
        <v>1</v>
      </c>
      <c r="AB35" s="1486">
        <f t="shared" si="4"/>
        <v>1</v>
      </c>
      <c r="AC35" s="1486">
        <f t="shared" si="5"/>
        <v>1</v>
      </c>
    </row>
    <row r="36" spans="1:29" ht="15">
      <c r="A36" s="2595" t="s">
        <v>2714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524"/>
      <c r="Q36" s="1482" t="str">
        <f>B36</f>
        <v>宗地面积</v>
      </c>
      <c r="R36" s="1483" t="s">
        <v>8</v>
      </c>
      <c r="S36" s="1484" t="e">
        <f t="shared" si="10"/>
        <v>#N/A</v>
      </c>
      <c r="T36" s="1483" t="s">
        <v>8</v>
      </c>
      <c r="U36" s="1484" t="e">
        <f t="shared" si="11"/>
        <v>#N/A</v>
      </c>
      <c r="V36" s="1483" t="s">
        <v>8</v>
      </c>
      <c r="W36" s="1484" t="e">
        <f t="shared" si="12"/>
        <v>#N/A</v>
      </c>
      <c r="X36" s="1477"/>
      <c r="Y36" s="3524"/>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524"/>
      <c r="Q37" s="1482" t="str">
        <f t="shared" ref="Q37:Q42" si="14">B37</f>
        <v>宗地形状</v>
      </c>
      <c r="R37" s="1483" t="s">
        <v>8</v>
      </c>
      <c r="S37" s="1484">
        <f t="shared" si="10"/>
        <v>100</v>
      </c>
      <c r="T37" s="1483" t="s">
        <v>8</v>
      </c>
      <c r="U37" s="1484">
        <f t="shared" si="11"/>
        <v>100</v>
      </c>
      <c r="V37" s="1483" t="s">
        <v>8</v>
      </c>
      <c r="W37" s="1484">
        <f t="shared" si="12"/>
        <v>100</v>
      </c>
      <c r="X37" s="1477"/>
      <c r="Y37" s="3524"/>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524"/>
      <c r="Q38" s="1482" t="str">
        <f t="shared" si="14"/>
        <v>宗地开发程度</v>
      </c>
      <c r="R38" s="1478" t="s">
        <v>8</v>
      </c>
      <c r="S38" s="1479">
        <f t="shared" si="10"/>
        <v>100</v>
      </c>
      <c r="T38" s="1478" t="s">
        <v>8</v>
      </c>
      <c r="U38" s="1479">
        <f t="shared" si="11"/>
        <v>100</v>
      </c>
      <c r="V38" s="1478" t="s">
        <v>8</v>
      </c>
      <c r="W38" s="1479">
        <f t="shared" si="12"/>
        <v>100</v>
      </c>
      <c r="X38" s="1480"/>
      <c r="Y38" s="3524"/>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24" t="s">
        <v>584</v>
      </c>
      <c r="Q39" s="1482" t="str">
        <f t="shared" si="14"/>
        <v>工程地质条件</v>
      </c>
      <c r="R39" s="1483" t="s">
        <v>8</v>
      </c>
      <c r="S39" s="1484">
        <f t="shared" si="10"/>
        <v>100</v>
      </c>
      <c r="T39" s="1483" t="s">
        <v>8</v>
      </c>
      <c r="U39" s="1484">
        <f t="shared" si="11"/>
        <v>100</v>
      </c>
      <c r="V39" s="1483" t="s">
        <v>8</v>
      </c>
      <c r="W39" s="1484">
        <f t="shared" si="12"/>
        <v>100</v>
      </c>
      <c r="X39" s="1477"/>
      <c r="Y39" s="3524"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524"/>
      <c r="Q40" s="1482">
        <f t="shared" si="14"/>
        <v>111</v>
      </c>
      <c r="R40" s="1483" t="s">
        <v>8</v>
      </c>
      <c r="S40" s="1484">
        <f t="shared" si="10"/>
        <v>100</v>
      </c>
      <c r="T40" s="1483" t="s">
        <v>8</v>
      </c>
      <c r="U40" s="1484">
        <f t="shared" si="11"/>
        <v>100</v>
      </c>
      <c r="V40" s="1483" t="s">
        <v>8</v>
      </c>
      <c r="W40" s="1484">
        <f t="shared" si="12"/>
        <v>100</v>
      </c>
      <c r="X40" s="1477"/>
      <c r="Y40" s="3524"/>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524"/>
      <c r="Q41" s="1482">
        <f t="shared" si="14"/>
        <v>111</v>
      </c>
      <c r="R41" s="1483" t="s">
        <v>8</v>
      </c>
      <c r="S41" s="1484">
        <f t="shared" si="10"/>
        <v>100</v>
      </c>
      <c r="T41" s="1483" t="s">
        <v>8</v>
      </c>
      <c r="U41" s="1484">
        <f t="shared" si="11"/>
        <v>100</v>
      </c>
      <c r="V41" s="1483" t="s">
        <v>8</v>
      </c>
      <c r="W41" s="1484">
        <f t="shared" si="12"/>
        <v>100</v>
      </c>
      <c r="X41" s="1477"/>
      <c r="Y41" s="3524"/>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524"/>
      <c r="Q42" s="1482">
        <f t="shared" si="14"/>
        <v>111</v>
      </c>
      <c r="R42" s="1487" t="s">
        <v>8</v>
      </c>
      <c r="S42" s="1488">
        <f t="shared" si="10"/>
        <v>100</v>
      </c>
      <c r="T42" s="1487" t="s">
        <v>8</v>
      </c>
      <c r="U42" s="1488">
        <f t="shared" si="11"/>
        <v>100</v>
      </c>
      <c r="V42" s="1487" t="s">
        <v>8</v>
      </c>
      <c r="W42" s="1488">
        <f t="shared" si="12"/>
        <v>100</v>
      </c>
      <c r="X42" s="1489"/>
      <c r="Y42" s="3524"/>
      <c r="Z42" s="1490">
        <f t="shared" si="13"/>
        <v>111</v>
      </c>
      <c r="AA42" s="1486">
        <f t="shared" si="3"/>
        <v>1</v>
      </c>
      <c r="AB42" s="1486">
        <f t="shared" si="4"/>
        <v>1</v>
      </c>
      <c r="AC42" s="1486">
        <f t="shared" si="5"/>
        <v>1</v>
      </c>
    </row>
    <row r="43" spans="1:29" ht="15">
      <c r="A43" s="584" t="s">
        <v>539</v>
      </c>
      <c r="B43" s="585" t="s">
        <v>2878</v>
      </c>
      <c r="C43" s="586" t="s">
        <v>1</v>
      </c>
      <c r="D43" s="587"/>
      <c r="E43" s="588"/>
      <c r="F43" s="589"/>
      <c r="G43" s="590"/>
      <c r="H43" s="591"/>
      <c r="I43" s="588"/>
      <c r="J43" s="591"/>
      <c r="K43" s="1269"/>
      <c r="L43" s="2000"/>
      <c r="M43" s="1990"/>
      <c r="N43" s="1990"/>
      <c r="O43" s="2001"/>
      <c r="P43" s="3487" t="str">
        <f>A43</f>
        <v>成交单价</v>
      </c>
      <c r="Q43" s="3487"/>
      <c r="R43" s="3488">
        <f>E43</f>
        <v>0</v>
      </c>
      <c r="S43" s="3488"/>
      <c r="T43" s="3488">
        <f>G43</f>
        <v>0</v>
      </c>
      <c r="U43" s="3488"/>
      <c r="V43" s="3488">
        <f>I43</f>
        <v>0</v>
      </c>
      <c r="W43" s="3488"/>
      <c r="X43" s="1472"/>
      <c r="Y43" s="1491"/>
      <c r="Z43" s="1472"/>
      <c r="AA43" s="1472"/>
      <c r="AB43" s="1472"/>
      <c r="AC43" s="1472"/>
    </row>
    <row r="44" spans="1:29" ht="15.75" thickBot="1">
      <c r="A44" s="592" t="s">
        <v>2652</v>
      </c>
      <c r="B44" s="593"/>
      <c r="C44" s="594" t="e">
        <f>R45</f>
        <v>#DIV/0!</v>
      </c>
      <c r="D44" s="2982" t="s">
        <v>2946</v>
      </c>
      <c r="E44" s="594" t="e">
        <f>R44</f>
        <v>#DIV/0!</v>
      </c>
      <c r="F44" s="2983"/>
      <c r="G44" s="595" t="e">
        <f>T44</f>
        <v>#DIV/0!</v>
      </c>
      <c r="H44" s="2983"/>
      <c r="I44" s="594" t="e">
        <f>V44</f>
        <v>#DIV/0!</v>
      </c>
      <c r="J44" s="2983"/>
      <c r="K44" s="2984">
        <f>F44+H44+J44</f>
        <v>0</v>
      </c>
      <c r="L44" s="2000"/>
      <c r="M44" s="1990"/>
      <c r="N44" s="1990"/>
      <c r="O44" s="2001"/>
      <c r="P44" s="3487" t="str">
        <f>A44</f>
        <v>比较价格（元/平方米）</v>
      </c>
      <c r="Q44" s="3487"/>
      <c r="R44" s="3489" t="e">
        <f>ROUND(PRODUCT(R43,AA9:AA42),0)</f>
        <v>#DIV/0!</v>
      </c>
      <c r="S44" s="3489"/>
      <c r="T44" s="3489" t="e">
        <f>ROUND(PRODUCT(T43,AB9:AB42),0)</f>
        <v>#DIV/0!</v>
      </c>
      <c r="U44" s="3489"/>
      <c r="V44" s="3489" t="e">
        <f>ROUND(PRODUCT(V43,AC9:AC42),0)</f>
        <v>#DIV/0!</v>
      </c>
      <c r="W44" s="3489"/>
      <c r="X44" s="1472"/>
      <c r="Y44" s="1472"/>
      <c r="Z44" s="1472"/>
      <c r="AA44" s="1472"/>
      <c r="AB44" s="1472"/>
      <c r="AC44" s="1472"/>
    </row>
    <row r="45" spans="1:29" ht="15.75" thickBot="1">
      <c r="A45" s="596" t="s">
        <v>2879</v>
      </c>
      <c r="B45" s="597"/>
      <c r="C45" s="598" t="e">
        <f>R45</f>
        <v>#DIV/0!</v>
      </c>
      <c r="D45" s="598"/>
      <c r="E45" s="598"/>
      <c r="F45" s="598"/>
      <c r="G45" s="598"/>
      <c r="H45" s="598"/>
      <c r="I45" s="598"/>
      <c r="J45" s="598"/>
      <c r="K45" s="1270"/>
      <c r="L45" s="2000"/>
      <c r="M45" s="1990"/>
      <c r="N45" s="1990"/>
      <c r="O45" s="2001"/>
      <c r="P45" s="3484" t="str">
        <f>A45</f>
        <v>估价对象XX用房的比较价格（楼面单价，元/平方米）</v>
      </c>
      <c r="Q45" s="3485"/>
      <c r="R45" s="3558" t="e">
        <f>ROUND(IF(D44="简单平均",AVERAGE(R44:W44),R44*F44+T44*H44+V44*J44),0)</f>
        <v>#DIV/0!</v>
      </c>
      <c r="S45" s="3558"/>
      <c r="T45" s="3558"/>
      <c r="U45" s="3558"/>
      <c r="V45" s="3558"/>
      <c r="W45" s="3558"/>
      <c r="X45" s="1472"/>
      <c r="Y45" s="1472"/>
      <c r="Z45" s="1472"/>
      <c r="AA45" s="1472"/>
      <c r="AB45" s="1472"/>
      <c r="AC45" s="1472"/>
    </row>
    <row r="46" spans="1:29">
      <c r="A46" s="3182"/>
      <c r="B46" s="3182"/>
      <c r="C46" s="3182"/>
      <c r="D46" s="3182"/>
      <c r="E46" s="3182"/>
      <c r="F46" s="3182"/>
      <c r="G46" s="3184"/>
      <c r="H46" s="3182"/>
      <c r="I46" s="3182"/>
      <c r="J46" s="3182"/>
      <c r="K46" s="3185"/>
      <c r="L46" s="2005"/>
      <c r="M46" s="1990"/>
      <c r="N46" s="1990"/>
      <c r="O46" s="2001"/>
      <c r="P46" s="2001"/>
      <c r="Q46" s="2001"/>
      <c r="R46" s="2001"/>
      <c r="S46" s="2001"/>
      <c r="T46" s="2001"/>
      <c r="U46" s="2001"/>
      <c r="V46" s="2001"/>
      <c r="W46" s="2001"/>
      <c r="X46" s="2001"/>
      <c r="Y46" s="2001"/>
      <c r="Z46" s="2001"/>
      <c r="AA46" s="2001"/>
      <c r="AB46" s="2001"/>
      <c r="AC46" s="2001"/>
    </row>
    <row r="47" spans="1:29">
      <c r="A47" s="3182"/>
      <c r="B47" s="3182"/>
      <c r="C47" s="3182"/>
      <c r="D47" s="3182"/>
      <c r="E47" s="3182"/>
      <c r="F47" s="3182"/>
      <c r="G47" s="3182"/>
      <c r="H47" s="3182"/>
      <c r="I47" s="3182"/>
      <c r="J47" s="3182"/>
      <c r="K47" s="3185"/>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82"/>
      <c r="B48" s="318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85"/>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82"/>
      <c r="B49" s="318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85"/>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83"/>
      <c r="B50" s="318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86"/>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83"/>
      <c r="B51" s="3194"/>
      <c r="C51" s="2006"/>
      <c r="D51" s="2002"/>
      <c r="E51" s="2002"/>
      <c r="F51" s="2002"/>
      <c r="G51" s="2002"/>
      <c r="H51" s="2002"/>
      <c r="I51" s="2002"/>
      <c r="J51" s="2002"/>
      <c r="K51" s="3186"/>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553" t="s">
        <v>2257</v>
      </c>
      <c r="H52" s="3554"/>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103391.18</v>
      </c>
      <c r="F53" s="1839" t="e">
        <f t="shared" ref="F53:F62" si="15">ROUND(B53*E53/10000,0)</f>
        <v>#DIV/0!</v>
      </c>
      <c r="G53" s="3555"/>
      <c r="H53" s="3556"/>
      <c r="I53" s="1842">
        <v>1</v>
      </c>
      <c r="J53" s="1470">
        <v>1</v>
      </c>
      <c r="K53" s="3187"/>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557" t="s">
        <v>2258</v>
      </c>
      <c r="H54" s="1843">
        <f>项目基本情况!B43</f>
        <v>0</v>
      </c>
      <c r="I54" s="1842">
        <f>SUMIF(修正!$A$45:$A$56,H54,修正!B45:B56)</f>
        <v>0</v>
      </c>
      <c r="J54" s="1471"/>
      <c r="K54" s="3187"/>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557"/>
      <c r="H55" s="1844">
        <f>项目基本情况!B43</f>
        <v>0</v>
      </c>
      <c r="I55" s="1842">
        <f>SUMIF(修正!$A$45:$A$56,H55,修正!C45:C56)</f>
        <v>0</v>
      </c>
      <c r="J55" s="1471"/>
      <c r="K55" s="3187"/>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557"/>
      <c r="H56" s="1844">
        <f>项目基本情况!B43</f>
        <v>0</v>
      </c>
      <c r="I56" s="1842">
        <f>SUMIF(修正!$A$45:$A$56,H56,修正!D45:D56)</f>
        <v>0</v>
      </c>
      <c r="J56" s="1471"/>
      <c r="K56" s="3187"/>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557"/>
      <c r="H57" s="1844">
        <f>项目基本情况!B43</f>
        <v>0</v>
      </c>
      <c r="I57" s="1842">
        <f>SUMIF(修正!$A$45:$A$56,H57,修正!E45:E56)</f>
        <v>0</v>
      </c>
      <c r="J57" s="1471"/>
      <c r="K57" s="3187"/>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34818</v>
      </c>
      <c r="F63" s="619" t="e">
        <f>IF(B43="楼面地价",SUM(F53:F62),ROUND(C45*E63/10000,0))</f>
        <v>#DIV/0!</v>
      </c>
      <c r="G63" s="2011"/>
      <c r="H63" s="2011"/>
      <c r="I63" s="2011"/>
      <c r="J63" s="2011"/>
      <c r="K63" s="3195"/>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88" t="str">
        <f>YEAR(C9)&amp;"-"&amp;MONTH(C9)&amp;"-1"</f>
        <v>2022-1-1</v>
      </c>
      <c r="D65" s="2487">
        <f>EDATE(C65,-3)</f>
        <v>44470</v>
      </c>
      <c r="E65" s="2487">
        <f t="shared" ref="E65:N65" si="18">EDATE(D65,-3)</f>
        <v>44378</v>
      </c>
      <c r="F65" s="2487">
        <f t="shared" si="18"/>
        <v>44287</v>
      </c>
      <c r="G65" s="2487">
        <f t="shared" si="18"/>
        <v>44197</v>
      </c>
      <c r="H65" s="2487">
        <f t="shared" si="18"/>
        <v>44105</v>
      </c>
      <c r="I65" s="2487">
        <f t="shared" si="18"/>
        <v>44013</v>
      </c>
      <c r="J65" s="2487">
        <f t="shared" si="18"/>
        <v>43922</v>
      </c>
      <c r="K65" s="2487">
        <f t="shared" si="18"/>
        <v>43831</v>
      </c>
      <c r="L65" s="2487">
        <f t="shared" si="18"/>
        <v>43739</v>
      </c>
      <c r="M65" s="2487">
        <f t="shared" si="18"/>
        <v>43647</v>
      </c>
      <c r="N65" s="2487">
        <f t="shared" si="18"/>
        <v>43556</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92" t="s">
        <v>2494</v>
      </c>
      <c r="B67" s="621"/>
      <c r="C67" s="2484" t="str">
        <f>YEAR(C65)&amp;"-"&amp;ROUNDUP(MONTH(C65)/3,0)</f>
        <v>2022-1</v>
      </c>
      <c r="D67" s="2489" t="str">
        <f t="shared" ref="D67:N67" si="19">YEAR(D65)&amp;"-"&amp;ROUNDUP(MONTH(D65)/3,0)</f>
        <v>2021-4</v>
      </c>
      <c r="E67" s="2489" t="str">
        <f t="shared" si="19"/>
        <v>2021-3</v>
      </c>
      <c r="F67" s="2489" t="str">
        <f t="shared" si="19"/>
        <v>2021-2</v>
      </c>
      <c r="G67" s="2489" t="str">
        <f t="shared" si="19"/>
        <v>2021-1</v>
      </c>
      <c r="H67" s="2489" t="str">
        <f t="shared" si="19"/>
        <v>2020-4</v>
      </c>
      <c r="I67" s="2489" t="str">
        <f t="shared" si="19"/>
        <v>2020-3</v>
      </c>
      <c r="J67" s="2489" t="str">
        <f t="shared" si="19"/>
        <v>2020-2</v>
      </c>
      <c r="K67" s="2489" t="str">
        <f t="shared" si="19"/>
        <v>2020-1</v>
      </c>
      <c r="L67" s="2489" t="str">
        <f t="shared" si="19"/>
        <v>2019-4</v>
      </c>
      <c r="M67" s="2489" t="str">
        <f t="shared" si="19"/>
        <v>2019-3</v>
      </c>
      <c r="N67" s="2489"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86" t="s">
        <v>2608</v>
      </c>
      <c r="B68" s="472" t="str">
        <f>"北京市平均增长率"&amp;TEXT(基准地价!P24,"0.00%")</f>
        <v>北京市平均增长率0.00%</v>
      </c>
      <c r="C68" s="866">
        <v>100</v>
      </c>
      <c r="D68" s="705"/>
      <c r="E68" s="705"/>
      <c r="F68" s="705"/>
      <c r="G68" s="705"/>
      <c r="H68" s="705"/>
      <c r="I68" s="705"/>
      <c r="J68" s="705"/>
      <c r="K68" s="705"/>
      <c r="L68" s="705"/>
      <c r="M68" s="2482"/>
      <c r="N68" s="2483"/>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80"/>
      <c r="D69" s="2481"/>
      <c r="E69" s="2481"/>
      <c r="F69" s="2481"/>
      <c r="G69" s="2481"/>
      <c r="H69" s="2481"/>
      <c r="I69" s="2481"/>
      <c r="J69" s="2481"/>
      <c r="K69" s="2481"/>
      <c r="L69" s="2481"/>
      <c r="M69" s="2481"/>
      <c r="N69" s="2481"/>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96"/>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96"/>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97"/>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98"/>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97"/>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98"/>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98"/>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97"/>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98"/>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99"/>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98"/>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99"/>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99"/>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99"/>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99"/>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97"/>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98"/>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97"/>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98"/>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96"/>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98"/>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96"/>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98"/>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2509</v>
      </c>
      <c r="C93" s="678" t="s">
        <v>562</v>
      </c>
      <c r="D93" s="678" t="s">
        <v>563</v>
      </c>
      <c r="E93" s="678" t="s">
        <v>564</v>
      </c>
      <c r="F93" s="678" t="s">
        <v>565</v>
      </c>
      <c r="G93" s="678" t="s">
        <v>566</v>
      </c>
      <c r="H93" s="688"/>
      <c r="I93" s="688"/>
      <c r="J93" s="688"/>
      <c r="K93" s="688"/>
      <c r="L93" s="689"/>
      <c r="M93" s="690"/>
      <c r="N93" s="3199"/>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99"/>
      <c r="O94" s="2022"/>
      <c r="P94" s="2023"/>
      <c r="Q94" s="2024"/>
      <c r="R94" s="2025"/>
      <c r="S94" s="2025"/>
      <c r="T94" s="2025"/>
      <c r="U94" s="2025"/>
      <c r="V94" s="2025"/>
      <c r="W94" s="2025"/>
      <c r="X94" s="2025"/>
      <c r="Y94" s="2025"/>
      <c r="Z94" s="2025"/>
      <c r="AA94" s="2025"/>
      <c r="AB94" s="2025"/>
      <c r="AC94" s="2025"/>
    </row>
    <row r="95" spans="1:29" s="1268" customFormat="1" ht="15.75" thickTop="1">
      <c r="A95" s="662"/>
      <c r="B95" s="2412" t="s">
        <v>2511</v>
      </c>
      <c r="C95" s="2413" t="s">
        <v>2512</v>
      </c>
      <c r="D95" s="2413" t="s">
        <v>2513</v>
      </c>
      <c r="E95" s="2413" t="s">
        <v>2514</v>
      </c>
      <c r="F95" s="2413" t="s">
        <v>2515</v>
      </c>
      <c r="G95" s="2413" t="s">
        <v>2516</v>
      </c>
      <c r="H95" s="688"/>
      <c r="I95" s="688"/>
      <c r="J95" s="688"/>
      <c r="K95" s="688"/>
      <c r="L95" s="688"/>
      <c r="M95" s="690"/>
      <c r="N95" s="3199"/>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405"/>
      <c r="N96" s="3199"/>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97"/>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98"/>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97"/>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98"/>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97"/>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98"/>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97"/>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98"/>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97"/>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98"/>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99"/>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98"/>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48" t="str">
        <f t="shared" si="25"/>
        <v>(含)-</v>
      </c>
      <c r="L109" s="2749" t="str">
        <f t="shared" si="25"/>
        <v>(含)-</v>
      </c>
      <c r="M109" s="2750" t="str">
        <f>M110&amp;"(含)"&amp;"-"&amp;P110</f>
        <v>(含)-</v>
      </c>
      <c r="N109" s="3197"/>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97"/>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98"/>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97"/>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98"/>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99"/>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99"/>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97"/>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98"/>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97"/>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98"/>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97"/>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98"/>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99"/>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99"/>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624" t="s">
        <v>2720</v>
      </c>
      <c r="S1" s="2624" t="s">
        <v>2721</v>
      </c>
      <c r="T1" s="2624" t="s">
        <v>2742</v>
      </c>
      <c r="U1" s="2624" t="s">
        <v>2743</v>
      </c>
      <c r="V1" s="2624" t="s">
        <v>2744</v>
      </c>
      <c r="W1" s="2044"/>
      <c r="X1" s="2044"/>
      <c r="Y1" s="2044"/>
      <c r="Z1" s="2044"/>
      <c r="AA1" s="2044"/>
      <c r="AB1" s="2044"/>
      <c r="AC1" s="2045"/>
    </row>
    <row r="2" spans="1:39" ht="15.75">
      <c r="A2" s="1330" t="s">
        <v>900</v>
      </c>
      <c r="B2" s="1008" t="e">
        <f>C26</f>
        <v>#DIV/0!</v>
      </c>
      <c r="C2" s="1331" t="s">
        <v>901</v>
      </c>
      <c r="D2" s="1332" t="s">
        <v>902</v>
      </c>
      <c r="E2" s="1333"/>
      <c r="F2" s="1332" t="s">
        <v>904</v>
      </c>
      <c r="G2" s="1555">
        <f>IF(E2="商业",项目基本情况!B43,IF(E2="办公",项目基本情况!C43,IF(E2="住宅",项目基本情况!D43,项目基本情况!E43)))</f>
        <v>0</v>
      </c>
      <c r="H2" s="1332" t="s">
        <v>906</v>
      </c>
      <c r="I2" s="1556">
        <f>IF(E2="商业",项目基本情况!B44,IF(E2="办公",项目基本情况!C44,IF(E2="住宅",项目基本情况!D44,项目基本情况!E44)))</f>
        <v>0</v>
      </c>
      <c r="J2" s="1334"/>
      <c r="K2" s="3200"/>
      <c r="L2" s="1774" t="s">
        <v>2213</v>
      </c>
      <c r="M2" s="1775">
        <f>SUMPRODUCT((区片价!B10:B28=I2)*(区片价!C3:F3=E2)*(区片价!C10:F28))</f>
        <v>0</v>
      </c>
      <c r="N2" s="1776">
        <f>SUMPRODUCT((因素修正幅度!B10:B28=I2)*(因素修正幅度!C3:F3=E2)*(因素修正幅度!C10:F28))</f>
        <v>0</v>
      </c>
      <c r="O2" s="3200"/>
      <c r="P2" s="2044"/>
      <c r="Q2" s="2044"/>
      <c r="R2" s="2625">
        <v>1</v>
      </c>
      <c r="S2" s="2625" t="e">
        <f>ROUND(IF(G3&gt;1,IF(R2&lt;7,SUMPRODUCT((B93:B98=R2)*(C92:N92=G2)*(C93:N98)),SUMIF(C92:N92,G2,C100:N100)),IF(R2&lt;7,SUMPRODUCT((B102:B107=R2)*(C92:N92=G2)*(C102:N107)),SUMIF(C92:N92,G2,C109:N109))),4)</f>
        <v>#DIV/0!</v>
      </c>
      <c r="T2" s="2625" t="e">
        <f>ROUND($C$5*$C$18*$C$19*$C$20*S2*$C$24,0)</f>
        <v>#DIV/0!</v>
      </c>
      <c r="U2" s="2614"/>
      <c r="V2" s="2625"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0</v>
      </c>
      <c r="H3" s="1338" t="s">
        <v>909</v>
      </c>
      <c r="I3" s="1010">
        <v>8</v>
      </c>
      <c r="J3" s="1334" t="s">
        <v>910</v>
      </c>
      <c r="K3" s="3200"/>
      <c r="L3" s="1774" t="s">
        <v>2214</v>
      </c>
      <c r="M3" s="1775">
        <f>SUMPRODUCT((区片价!B29:B48=I2)*(区片价!C3:F3=E2)*(区片价!C29:F48))</f>
        <v>0</v>
      </c>
      <c r="N3" s="1776">
        <f>SUMPRODUCT((因素修正幅度!B29:B48=I2)*(因素修正幅度!C3:F3=E2)*(因素修正幅度!C29:F48))</f>
        <v>0</v>
      </c>
      <c r="O3" s="3200"/>
      <c r="P3" s="2044"/>
      <c r="Q3" s="2044"/>
      <c r="R3" s="2625">
        <v>2</v>
      </c>
      <c r="S3" s="2625" t="e">
        <f>ROUND(IF(G3&gt;1,IF(R3&lt;7,SUMPRODUCT((B93:B98=R3)*(C92:N92=G2)*(C93:N98)),SUMIF(C92:N92,G2,C100:N100)),IF(R3&lt;7,SUMPRODUCT((B102:B107=R3)*(C92:N92=G2)*(C102:N107)),SUMIF(C92:N92,G2,C109:N109))),4)</f>
        <v>#DIV/0!</v>
      </c>
      <c r="T3" s="2625" t="e">
        <f t="shared" ref="T3:T16" si="0">ROUND($C$5*$C$18*$C$19*$C$20*S3*$C$24,0)</f>
        <v>#DIV/0!</v>
      </c>
      <c r="U3" s="2614"/>
      <c r="V3" s="2625" t="e">
        <f t="shared" ref="V3:V16" si="1">ROUND(T3*U3/10000,0)</f>
        <v>#DIV/0!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201"/>
      <c r="L4" s="1774" t="s">
        <v>2215</v>
      </c>
      <c r="M4" s="1775">
        <f>SUMPRODUCT((区片价!B49:B75=I2)*(区片价!C3:F3=E2)*(区片价!C49:F75))</f>
        <v>0</v>
      </c>
      <c r="N4" s="1776">
        <f>SUMPRODUCT((因素修正幅度!B49:B75=I2)*(因素修正幅度!C3:F3=E2)*(因素修正幅度!C49:F75))</f>
        <v>0</v>
      </c>
      <c r="O4" s="3201"/>
      <c r="P4" s="2044"/>
      <c r="Q4" s="2044"/>
      <c r="R4" s="2625">
        <v>3</v>
      </c>
      <c r="S4" s="2625" t="e">
        <f>ROUND(IF(G3&gt;1,IF(R4&lt;7,SUMPRODUCT((B93:B98=R4)*(C92:N92=G2)*(C93:N98)),SUMIF(C92:N92,G2,C100:N100)),IF(R4&lt;7,SUMPRODUCT((B102:B107=R4)*(C92:N92=G2)*(C102:N107)),SUMIF(C92:N92,G2,C109:N109))),4)</f>
        <v>#DIV/0!</v>
      </c>
      <c r="T4" s="2625" t="e">
        <f t="shared" si="0"/>
        <v>#DIV/0!</v>
      </c>
      <c r="U4" s="2614"/>
      <c r="V4" s="2625"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61" t="e">
        <f>ROUND(C6+C16,0)</f>
        <v>#DIV/0!</v>
      </c>
      <c r="E5" s="2761"/>
      <c r="F5" s="1340"/>
      <c r="G5" s="1341"/>
      <c r="H5" s="1341"/>
      <c r="I5" s="1341"/>
      <c r="J5" s="1342"/>
      <c r="K5" s="3202"/>
      <c r="L5" s="1774" t="s">
        <v>2216</v>
      </c>
      <c r="M5" s="1775">
        <f>SUMPRODUCT((区片价!B76:B109=I2)*(区片价!C3:F3=E2)*(区片价!C76:F109))</f>
        <v>0</v>
      </c>
      <c r="N5" s="1776">
        <f>SUMPRODUCT((因素修正幅度!B76:B109=I2)*(因素修正幅度!C3:F3=E2)*(因素修正幅度!C76:F109))</f>
        <v>0</v>
      </c>
      <c r="O5" s="3202"/>
      <c r="P5" s="3205"/>
      <c r="Q5" s="2044"/>
      <c r="R5" s="2625">
        <v>4</v>
      </c>
      <c r="S5" s="2625" t="e">
        <f>ROUND(IF(G3&gt;1,IF(R5&lt;7,SUMPRODUCT((B93:B98=R5)*(C92:N92=G2)*(C93:N98)),SUMIF(C92:N92,G2,C100:N100)),IF(R5&lt;7,SUMPRODUCT((B102:B107=R5)*(C92:N92=G2)*(C102:N107)),SUMIF(C92:N92,G2,C109:N109))),4)</f>
        <v>#DIV/0!</v>
      </c>
      <c r="T5" s="2625" t="e">
        <f t="shared" si="0"/>
        <v>#DIV/0!</v>
      </c>
      <c r="U5" s="2614"/>
      <c r="V5" s="2625"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203"/>
      <c r="L6" s="1774" t="s">
        <v>2217</v>
      </c>
      <c r="M6" s="1775">
        <f>SUMPRODUCT((区片价!B110:B157=I2)*(区片价!C3:F3=E2)*(区片价!C110:F157))</f>
        <v>0</v>
      </c>
      <c r="N6" s="1776">
        <f>SUMPRODUCT((因素修正幅度!B110:B157=I2)*(因素修正幅度!C3:F3=E2)*(因素修正幅度!C110:F157))</f>
        <v>0</v>
      </c>
      <c r="O6" s="3203"/>
      <c r="P6" s="3206"/>
      <c r="Q6" s="2044"/>
      <c r="R6" s="2625">
        <v>5</v>
      </c>
      <c r="S6" s="2625" t="e">
        <f>ROUND(IF(G3&gt;1,IF(R6&lt;7,SUMPRODUCT((B93:B98=R6)*(C92:N92=G2)*(C93:N98)),SUMIF(C92:N92,G2,C100:N100)),IF(R6&lt;7,SUMPRODUCT((B102:B107=R6)*(C92:N92=G2)*(C102:N107)),SUMIF(C92:N92,G2,C109:N109))),4)</f>
        <v>#DIV/0!</v>
      </c>
      <c r="T6" s="2625" t="e">
        <f t="shared" si="0"/>
        <v>#DIV/0!</v>
      </c>
      <c r="U6" s="2614"/>
      <c r="V6" s="2625" t="e">
        <f t="shared" si="1"/>
        <v>#DIV/0!</v>
      </c>
      <c r="W6" s="2044"/>
      <c r="X6" s="2044"/>
      <c r="Y6" s="2044"/>
      <c r="Z6" s="2044"/>
      <c r="AA6" s="2044"/>
      <c r="AB6" s="2044"/>
      <c r="AC6" s="2046"/>
      <c r="AD6" s="1343"/>
      <c r="AE6" s="1343"/>
      <c r="AF6" s="1343"/>
      <c r="AG6" s="1343"/>
      <c r="AH6" s="1343"/>
      <c r="AI6" s="1343"/>
      <c r="AJ6" s="1344"/>
    </row>
    <row r="7" spans="1:39" ht="24">
      <c r="A7" s="3573" t="str">
        <f>IF(E2="商业",IF(C8="不临58条商业街","",2),"")</f>
        <v/>
      </c>
      <c r="B7" s="1351" t="s">
        <v>912</v>
      </c>
      <c r="C7" s="1013" t="e">
        <f>IF(C8="不临58条商业街",1,ROUND(1+(1.6*E8+1.2*E9+0.8*E10+0.4*E11)*C9,4))</f>
        <v>#DIV/0!</v>
      </c>
      <c r="D7" s="1352" t="s">
        <v>913</v>
      </c>
      <c r="E7" s="1014"/>
      <c r="F7" s="1353"/>
      <c r="G7" s="1354"/>
      <c r="H7" s="1354"/>
      <c r="I7" s="1354"/>
      <c r="J7" s="1355"/>
      <c r="K7" s="3203"/>
      <c r="L7" s="1774" t="s">
        <v>2218</v>
      </c>
      <c r="M7" s="1775">
        <f>SUMPRODUCT((区片价!B158:B205=I2)*(区片价!C3:F3=E2)*(区片价!C158:F205))</f>
        <v>0</v>
      </c>
      <c r="N7" s="1776">
        <f>SUMPRODUCT((因素修正幅度!B158:B205=I2)*(因素修正幅度!C3:F3=E2)*(因素修正幅度!C158:F205))</f>
        <v>0</v>
      </c>
      <c r="O7" s="3203"/>
      <c r="P7" s="3206"/>
      <c r="Q7" s="2044"/>
      <c r="R7" s="2625">
        <v>6</v>
      </c>
      <c r="S7" s="2625" t="e">
        <f>ROUND(IF(G3&gt;1,IF(R7&lt;7,SUMPRODUCT((B93:B98=R7)*(C92:N92=G2)*(C93:N98)),SUMIF(C92:N92,G2,C100:N100)),IF(R7&lt;7,SUMPRODUCT((B102:B107=R7)*(C92:N92=G2)*(C102:N107)),SUMIF(C92:N92,G2,C109:N109))),4)</f>
        <v>#DIV/0!</v>
      </c>
      <c r="T7" s="2625" t="e">
        <f t="shared" si="0"/>
        <v>#DIV/0!</v>
      </c>
      <c r="U7" s="2614"/>
      <c r="V7" s="2625" t="e">
        <f t="shared" si="1"/>
        <v>#DIV/0!</v>
      </c>
      <c r="W7" s="2623" t="s">
        <v>2723</v>
      </c>
      <c r="X7" s="2615">
        <f>G2</f>
        <v>0</v>
      </c>
      <c r="Y7" s="2615" t="s">
        <v>2724</v>
      </c>
      <c r="Z7" s="2616">
        <f>G3</f>
        <v>0</v>
      </c>
      <c r="AA7" s="2047"/>
      <c r="AB7" s="2047"/>
      <c r="AC7" s="2048"/>
      <c r="AD7" s="2617"/>
      <c r="AE7" s="2617"/>
      <c r="AF7" s="2617"/>
      <c r="AG7" s="2617"/>
      <c r="AH7" s="2617"/>
      <c r="AI7" s="2617"/>
      <c r="AJ7" s="2618"/>
    </row>
    <row r="8" spans="1:39" ht="15">
      <c r="A8" s="3574"/>
      <c r="B8" s="1338" t="s">
        <v>914</v>
      </c>
      <c r="C8" s="1444"/>
      <c r="D8" s="1015" t="s">
        <v>915</v>
      </c>
      <c r="E8" s="1016" t="e">
        <f>ROUND(C11/E7,4)</f>
        <v>#DIV/0!</v>
      </c>
      <c r="F8" s="1356" t="s">
        <v>916</v>
      </c>
      <c r="G8" s="1357"/>
      <c r="H8" s="1357"/>
      <c r="I8" s="1357"/>
      <c r="J8" s="1358"/>
      <c r="K8" s="3203"/>
      <c r="L8" s="1774" t="s">
        <v>2219</v>
      </c>
      <c r="M8" s="1775">
        <f>SUMPRODUCT((区片价!B206:B244=I2)*(区片价!C3:F3=E2)*(区片价!C206:F244))</f>
        <v>0</v>
      </c>
      <c r="N8" s="1776">
        <f>SUMPRODUCT((因素修正幅度!B206:B244=I2)*(因素修正幅度!C3:F3=E2)*(因素修正幅度!C206:F244))</f>
        <v>0</v>
      </c>
      <c r="O8" s="3203"/>
      <c r="P8" s="2044"/>
      <c r="Q8" s="2044"/>
      <c r="R8" s="2625">
        <v>7</v>
      </c>
      <c r="S8" s="2614"/>
      <c r="T8" s="2625" t="e">
        <f t="shared" si="0"/>
        <v>#DIV/0!</v>
      </c>
      <c r="U8" s="2614"/>
      <c r="V8" s="2625" t="e">
        <f t="shared" si="1"/>
        <v>#DIV/0!</v>
      </c>
      <c r="W8" s="3560" t="s">
        <v>2741</v>
      </c>
      <c r="X8" s="3561"/>
      <c r="Y8" s="1738" t="s">
        <v>2725</v>
      </c>
      <c r="Z8" s="1738" t="s">
        <v>2726</v>
      </c>
      <c r="AA8" s="1738" t="s">
        <v>2727</v>
      </c>
      <c r="AB8" s="1738" t="s">
        <v>2728</v>
      </c>
      <c r="AC8" s="1738" t="s">
        <v>2729</v>
      </c>
      <c r="AD8" s="1738" t="s">
        <v>2730</v>
      </c>
      <c r="AE8" s="1738" t="s">
        <v>2731</v>
      </c>
      <c r="AF8" s="1738" t="s">
        <v>2732</v>
      </c>
      <c r="AG8" s="1738" t="s">
        <v>2733</v>
      </c>
      <c r="AH8" s="1738" t="s">
        <v>2734</v>
      </c>
      <c r="AI8" s="1738" t="s">
        <v>2735</v>
      </c>
      <c r="AJ8" s="1738" t="s">
        <v>2736</v>
      </c>
    </row>
    <row r="9" spans="1:39" ht="15">
      <c r="A9" s="3574"/>
      <c r="B9" s="1338" t="s">
        <v>917</v>
      </c>
      <c r="C9" s="1017">
        <f>SUMIF(修正!C59:C119,C8,修正!E59:E119)</f>
        <v>0</v>
      </c>
      <c r="D9" s="1018" t="s">
        <v>918</v>
      </c>
      <c r="E9" s="1018" t="e">
        <f>ROUND(C11/E7,4)</f>
        <v>#DIV/0!</v>
      </c>
      <c r="F9" s="1356" t="s">
        <v>919</v>
      </c>
      <c r="G9" s="1357"/>
      <c r="H9" s="1357"/>
      <c r="I9" s="1357"/>
      <c r="J9" s="1358"/>
      <c r="K9" s="3203"/>
      <c r="L9" s="1774" t="s">
        <v>2220</v>
      </c>
      <c r="M9" s="1775">
        <f>SUMPRODUCT((区片价!B245:B289=I2)*(区片价!C3:F3=E2)*(区片价!C245:F289))</f>
        <v>0</v>
      </c>
      <c r="N9" s="1776">
        <f>SUMPRODUCT((因素修正幅度!B245:B289=I2)*(因素修正幅度!C3:F3=E2)*(因素修正幅度!C245:F289))</f>
        <v>0</v>
      </c>
      <c r="O9" s="3203"/>
      <c r="P9" s="2044"/>
      <c r="Q9" s="2044"/>
      <c r="R9" s="2625">
        <v>8</v>
      </c>
      <c r="S9" s="2614"/>
      <c r="T9" s="2625" t="e">
        <f t="shared" si="0"/>
        <v>#DIV/0!</v>
      </c>
      <c r="U9" s="2614"/>
      <c r="V9" s="2625" t="e">
        <f t="shared" si="1"/>
        <v>#DIV/0!</v>
      </c>
      <c r="W9" s="3559" t="s">
        <v>2737</v>
      </c>
      <c r="X9" s="2619" t="s">
        <v>2738</v>
      </c>
      <c r="Y9" s="2754"/>
      <c r="Z9" s="2620">
        <f t="shared" ref="Z9:AJ9" si="2">$Y$9</f>
        <v>0</v>
      </c>
      <c r="AA9" s="2620">
        <f t="shared" si="2"/>
        <v>0</v>
      </c>
      <c r="AB9" s="2620">
        <f t="shared" si="2"/>
        <v>0</v>
      </c>
      <c r="AC9" s="2620">
        <f t="shared" si="2"/>
        <v>0</v>
      </c>
      <c r="AD9" s="2620">
        <f t="shared" si="2"/>
        <v>0</v>
      </c>
      <c r="AE9" s="2620">
        <f t="shared" si="2"/>
        <v>0</v>
      </c>
      <c r="AF9" s="2620">
        <f t="shared" si="2"/>
        <v>0</v>
      </c>
      <c r="AG9" s="2620">
        <f t="shared" si="2"/>
        <v>0</v>
      </c>
      <c r="AH9" s="2620">
        <f t="shared" si="2"/>
        <v>0</v>
      </c>
      <c r="AI9" s="2620">
        <f t="shared" si="2"/>
        <v>0</v>
      </c>
      <c r="AJ9" s="2620">
        <f t="shared" si="2"/>
        <v>0</v>
      </c>
    </row>
    <row r="10" spans="1:39" ht="15">
      <c r="A10" s="3574"/>
      <c r="B10" s="1338" t="s">
        <v>920</v>
      </c>
      <c r="C10" s="1018">
        <f>SUMIF(修正!C59:C119,C8,修正!F59:F119)</f>
        <v>0</v>
      </c>
      <c r="D10" s="1018" t="s">
        <v>921</v>
      </c>
      <c r="E10" s="1018" t="e">
        <f>ROUND(C11/E7,4)</f>
        <v>#DIV/0!</v>
      </c>
      <c r="F10" s="1356" t="s">
        <v>922</v>
      </c>
      <c r="G10" s="1357"/>
      <c r="H10" s="1357"/>
      <c r="I10" s="1357"/>
      <c r="J10" s="1358"/>
      <c r="K10" s="3203"/>
      <c r="L10" s="1774" t="s">
        <v>2221</v>
      </c>
      <c r="M10" s="1775">
        <f>SUMPRODUCT((区片价!B290:B316=I2)*(区片价!C3:F3=E2)*(区片价!C290:F316))</f>
        <v>0</v>
      </c>
      <c r="N10" s="1776">
        <f>SUMPRODUCT((因素修正幅度!B290:B316=I2)*(因素修正幅度!C3:F3=E2)*(因素修正幅度!C290:F316))</f>
        <v>0</v>
      </c>
      <c r="O10" s="3203"/>
      <c r="P10" s="2044"/>
      <c r="Q10" s="2044"/>
      <c r="R10" s="2625">
        <v>9</v>
      </c>
      <c r="S10" s="2614"/>
      <c r="T10" s="2625" t="e">
        <f t="shared" si="0"/>
        <v>#DIV/0!</v>
      </c>
      <c r="U10" s="2614"/>
      <c r="V10" s="2625" t="e">
        <f t="shared" si="1"/>
        <v>#DIV/0!</v>
      </c>
      <c r="W10" s="3559"/>
      <c r="X10" s="2619">
        <v>7</v>
      </c>
      <c r="Y10" s="2621">
        <f>(-0.163*(Y9^2)-0.59*Y9+7617)*(10^(-4))</f>
        <v>0.76170000000000004</v>
      </c>
      <c r="Z10" s="2621">
        <f>(-0.163*(Z9^2)-0.59*Z9+7617)*(10^(-4))</f>
        <v>0.76170000000000004</v>
      </c>
      <c r="AA10" s="2621">
        <f>(-0.161*(AA9^2)-7.509*AA9+6533)*(10^(-4))</f>
        <v>0.65329999999999999</v>
      </c>
      <c r="AB10" s="2621">
        <f>(-0.161*(AB9^2)-7.509*AB9+6533)*(10^(-4))</f>
        <v>0.65329999999999999</v>
      </c>
      <c r="AC10" s="2621">
        <f>(-0.161*(AC9^2)-7.509*AC9+6533)*(10^(-4))</f>
        <v>0.65329999999999999</v>
      </c>
      <c r="AD10" s="2621">
        <f>(-0.161*(AD9^2)-7.509*AD9+6533)*(10^(-4))</f>
        <v>0.65329999999999999</v>
      </c>
      <c r="AE10" s="2621">
        <f>(-0.161*(AE9^2)-7.509*AE9+6533)*(10^(-4))</f>
        <v>0.65329999999999999</v>
      </c>
      <c r="AF10" s="2621">
        <f>(-0.214*(AF9^2)-21.991*AF9+4665)*(10^(-4))</f>
        <v>0.46650000000000003</v>
      </c>
      <c r="AG10" s="2621">
        <f>(-0.214*(AG9^2)-21.991*AG9+4665)*(10^(-4))</f>
        <v>0.46650000000000003</v>
      </c>
      <c r="AH10" s="2621">
        <f>(-0.214*(AH9^2)-21.991*AH9+4665)*(10^(-4))</f>
        <v>0.46650000000000003</v>
      </c>
      <c r="AI10" s="2621">
        <f>(-0.214*(AI9^2)-21.991*AI9+4665)*(10^(-4))</f>
        <v>0.46650000000000003</v>
      </c>
      <c r="AJ10" s="2621">
        <f>(-0.214*(AJ9^2)-21.991*AJ9+4665)*(10^(-4))</f>
        <v>0.46650000000000003</v>
      </c>
    </row>
    <row r="11" spans="1:39" ht="15.75" customHeight="1" thickBot="1">
      <c r="A11" s="3574"/>
      <c r="B11" s="1359" t="s">
        <v>923</v>
      </c>
      <c r="C11" s="1019">
        <f>C10/4</f>
        <v>0</v>
      </c>
      <c r="D11" s="1019" t="s">
        <v>924</v>
      </c>
      <c r="E11" s="1019" t="e">
        <f>ROUND(C11/E7,4)</f>
        <v>#DIV/0!</v>
      </c>
      <c r="F11" s="1360" t="s">
        <v>925</v>
      </c>
      <c r="G11" s="1361"/>
      <c r="H11" s="1361"/>
      <c r="I11" s="1361"/>
      <c r="J11" s="1362"/>
      <c r="K11" s="3203"/>
      <c r="L11" s="1774" t="s">
        <v>2222</v>
      </c>
      <c r="M11" s="1775">
        <f>SUMPRODUCT((区片价!B317:B337=I2)*(区片价!C3:F3=E2)*(区片价!C317:F337))</f>
        <v>0</v>
      </c>
      <c r="N11" s="1776">
        <f>SUMPRODUCT((因素修正幅度!B317:B337=I2)*(因素修正幅度!C3:F3=E2)*(因素修正幅度!C317:F337))</f>
        <v>0</v>
      </c>
      <c r="O11" s="3203"/>
      <c r="P11" s="2044"/>
      <c r="Q11" s="2044"/>
      <c r="R11" s="2625">
        <v>10</v>
      </c>
      <c r="S11" s="2614"/>
      <c r="T11" s="2625" t="e">
        <f t="shared" si="0"/>
        <v>#DIV/0!</v>
      </c>
      <c r="U11" s="2614"/>
      <c r="V11" s="2625" t="e">
        <f t="shared" si="1"/>
        <v>#DIV/0!</v>
      </c>
      <c r="W11" s="3559" t="s">
        <v>2739</v>
      </c>
      <c r="X11" s="1018" t="s">
        <v>2724</v>
      </c>
      <c r="Y11" s="1556">
        <f>$G$3</f>
        <v>0</v>
      </c>
      <c r="Z11" s="1556">
        <f t="shared" ref="Z11:AJ11" si="3">$G$3</f>
        <v>0</v>
      </c>
      <c r="AA11" s="1556">
        <f t="shared" si="3"/>
        <v>0</v>
      </c>
      <c r="AB11" s="1556">
        <f t="shared" si="3"/>
        <v>0</v>
      </c>
      <c r="AC11" s="1556">
        <f t="shared" si="3"/>
        <v>0</v>
      </c>
      <c r="AD11" s="1556">
        <f t="shared" si="3"/>
        <v>0</v>
      </c>
      <c r="AE11" s="1556">
        <f t="shared" si="3"/>
        <v>0</v>
      </c>
      <c r="AF11" s="1556">
        <f t="shared" si="3"/>
        <v>0</v>
      </c>
      <c r="AG11" s="1556">
        <f t="shared" si="3"/>
        <v>0</v>
      </c>
      <c r="AH11" s="1556">
        <f t="shared" si="3"/>
        <v>0</v>
      </c>
      <c r="AI11" s="1556">
        <f t="shared" si="3"/>
        <v>0</v>
      </c>
      <c r="AJ11" s="1556">
        <f t="shared" si="3"/>
        <v>0</v>
      </c>
    </row>
    <row r="12" spans="1:39" ht="25.5" thickBot="1">
      <c r="A12" s="3573" t="s">
        <v>1847</v>
      </c>
      <c r="B12" s="1363" t="s">
        <v>926</v>
      </c>
      <c r="C12" s="1013">
        <f>ROUND(C15*D15*E15*F15*G15*H15*I15*J15,4)</f>
        <v>1</v>
      </c>
      <c r="D12" s="1364" t="s">
        <v>927</v>
      </c>
      <c r="E12" s="1365"/>
      <c r="F12" s="1365"/>
      <c r="G12" s="1366"/>
      <c r="H12" s="1366"/>
      <c r="I12" s="1366"/>
      <c r="J12" s="1367"/>
      <c r="K12" s="3203"/>
      <c r="L12" s="1777" t="s">
        <v>2223</v>
      </c>
      <c r="M12" s="1778">
        <f>SUMPRODUCT((区片价!B338:B344=I2)*(区片价!C3:F3=E2)*(区片价!C338:F344))</f>
        <v>0</v>
      </c>
      <c r="N12" s="1779">
        <f>SUMPRODUCT((因素修正幅度!B338:B344=I2)*(因素修正幅度!C3:F3=E2)*(因素修正幅度!C338:F344))</f>
        <v>0</v>
      </c>
      <c r="O12" s="3203"/>
      <c r="P12" s="2044"/>
      <c r="Q12" s="2044"/>
      <c r="R12" s="2625">
        <v>11</v>
      </c>
      <c r="S12" s="2614"/>
      <c r="T12" s="2625" t="e">
        <f t="shared" si="0"/>
        <v>#DIV/0!</v>
      </c>
      <c r="U12" s="2614"/>
      <c r="V12" s="2625" t="e">
        <f t="shared" si="1"/>
        <v>#DIV/0!</v>
      </c>
      <c r="W12" s="3559"/>
      <c r="X12" s="2622" t="s">
        <v>2740</v>
      </c>
      <c r="Y12" s="2620">
        <f t="shared" ref="Y12:AJ12" si="4">Y9</f>
        <v>0</v>
      </c>
      <c r="Z12" s="2620">
        <f t="shared" si="4"/>
        <v>0</v>
      </c>
      <c r="AA12" s="2620">
        <f t="shared" si="4"/>
        <v>0</v>
      </c>
      <c r="AB12" s="2620">
        <f t="shared" si="4"/>
        <v>0</v>
      </c>
      <c r="AC12" s="2620">
        <f t="shared" si="4"/>
        <v>0</v>
      </c>
      <c r="AD12" s="2620">
        <f t="shared" si="4"/>
        <v>0</v>
      </c>
      <c r="AE12" s="2620">
        <f t="shared" si="4"/>
        <v>0</v>
      </c>
      <c r="AF12" s="2620">
        <f t="shared" si="4"/>
        <v>0</v>
      </c>
      <c r="AG12" s="2620">
        <f t="shared" si="4"/>
        <v>0</v>
      </c>
      <c r="AH12" s="2620">
        <f t="shared" si="4"/>
        <v>0</v>
      </c>
      <c r="AI12" s="2620">
        <f t="shared" si="4"/>
        <v>0</v>
      </c>
      <c r="AJ12" s="2620">
        <f t="shared" si="4"/>
        <v>0</v>
      </c>
    </row>
    <row r="13" spans="1:39" ht="24">
      <c r="A13" s="3575"/>
      <c r="B13" s="1368" t="s">
        <v>1676</v>
      </c>
      <c r="C13" s="1369" t="s">
        <v>1677</v>
      </c>
      <c r="D13" s="1055" t="s">
        <v>1678</v>
      </c>
      <c r="E13" s="1055" t="s">
        <v>1679</v>
      </c>
      <c r="F13" s="1370" t="s">
        <v>928</v>
      </c>
      <c r="G13" s="1371" t="s">
        <v>1622</v>
      </c>
      <c r="H13" s="1372" t="s">
        <v>1622</v>
      </c>
      <c r="I13" s="1373" t="s">
        <v>1622</v>
      </c>
      <c r="J13" s="1374" t="s">
        <v>1622</v>
      </c>
      <c r="K13" s="2811"/>
      <c r="L13" s="2811"/>
      <c r="M13" s="2811"/>
      <c r="N13" s="2811"/>
      <c r="O13" s="2811"/>
      <c r="P13" s="2044"/>
      <c r="Q13" s="2044"/>
      <c r="R13" s="2625">
        <v>12</v>
      </c>
      <c r="S13" s="2614"/>
      <c r="T13" s="2625" t="e">
        <f t="shared" si="0"/>
        <v>#DIV/0!</v>
      </c>
      <c r="U13" s="2614"/>
      <c r="V13" s="2625" t="e">
        <f t="shared" si="1"/>
        <v>#DIV/0!</v>
      </c>
      <c r="W13" s="3559"/>
      <c r="X13" s="2622"/>
      <c r="Y13" s="2621" t="e">
        <f>(-0.163*(Y12^2)-0.59*Y12+7617)*(10^(-4))/Y11</f>
        <v>#DIV/0!</v>
      </c>
      <c r="Z13" s="2621" t="e">
        <f t="shared" ref="Z13:AJ13" si="5">(-0.163*(Z12^2)-0.59*Z12+7617)*(10^(-4))/Z11</f>
        <v>#DIV/0!</v>
      </c>
      <c r="AA13" s="2621" t="e">
        <f t="shared" si="5"/>
        <v>#DIV/0!</v>
      </c>
      <c r="AB13" s="2621" t="e">
        <f t="shared" si="5"/>
        <v>#DIV/0!</v>
      </c>
      <c r="AC13" s="2621" t="e">
        <f t="shared" si="5"/>
        <v>#DIV/0!</v>
      </c>
      <c r="AD13" s="2621" t="e">
        <f t="shared" si="5"/>
        <v>#DIV/0!</v>
      </c>
      <c r="AE13" s="2621" t="e">
        <f t="shared" si="5"/>
        <v>#DIV/0!</v>
      </c>
      <c r="AF13" s="2621" t="e">
        <f t="shared" si="5"/>
        <v>#DIV/0!</v>
      </c>
      <c r="AG13" s="2621" t="e">
        <f t="shared" si="5"/>
        <v>#DIV/0!</v>
      </c>
      <c r="AH13" s="2621" t="e">
        <f t="shared" si="5"/>
        <v>#DIV/0!</v>
      </c>
      <c r="AI13" s="2621" t="e">
        <f t="shared" si="5"/>
        <v>#DIV/0!</v>
      </c>
      <c r="AJ13" s="2621" t="e">
        <f t="shared" si="5"/>
        <v>#DIV/0!</v>
      </c>
    </row>
    <row r="14" spans="1:39" ht="12.75" customHeight="1">
      <c r="A14" s="3575"/>
      <c r="B14" s="1375"/>
      <c r="C14" s="1376"/>
      <c r="D14" s="1377"/>
      <c r="E14" s="1377"/>
      <c r="F14" s="1378"/>
      <c r="G14" s="1379" t="s">
        <v>929</v>
      </c>
      <c r="H14" s="1380"/>
      <c r="I14" s="1381"/>
      <c r="J14" s="1382"/>
      <c r="K14" s="3204"/>
      <c r="L14" s="3204"/>
      <c r="M14" s="3204"/>
      <c r="N14" s="3204"/>
      <c r="O14" s="3204"/>
      <c r="P14" s="2044"/>
      <c r="Q14" s="2044"/>
      <c r="R14" s="2625">
        <v>13</v>
      </c>
      <c r="S14" s="2614"/>
      <c r="T14" s="2625" t="e">
        <f t="shared" si="0"/>
        <v>#DIV/0!</v>
      </c>
      <c r="U14" s="2614"/>
      <c r="V14" s="2625" t="e">
        <f t="shared" si="1"/>
        <v>#DIV/0!</v>
      </c>
      <c r="W14" s="2044"/>
      <c r="X14" s="2044"/>
      <c r="Y14" s="2044"/>
      <c r="Z14" s="2044"/>
      <c r="AA14" s="2044"/>
      <c r="AB14" s="2044"/>
      <c r="AC14" s="2045"/>
    </row>
    <row r="15" spans="1:39" ht="13.5" customHeight="1" thickBot="1">
      <c r="A15" s="3576"/>
      <c r="B15" s="2816" t="s">
        <v>1680</v>
      </c>
      <c r="C15" s="1019">
        <f>IF(C14="有",1.1,1)</f>
        <v>1</v>
      </c>
      <c r="D15" s="1019">
        <f>IF(D14="有",1.1,1)</f>
        <v>1</v>
      </c>
      <c r="E15" s="1019">
        <f>IF(E14="有",1.1,1)</f>
        <v>1</v>
      </c>
      <c r="F15" s="1019">
        <f>IF(F14="500米范围内",1.2,IF(F14="500-1000米",1.1,1))</f>
        <v>1</v>
      </c>
      <c r="G15" s="2808">
        <v>1</v>
      </c>
      <c r="H15" s="2808">
        <v>1</v>
      </c>
      <c r="I15" s="2808">
        <v>1</v>
      </c>
      <c r="J15" s="2809">
        <v>1</v>
      </c>
      <c r="K15" s="2812"/>
      <c r="L15" s="2812"/>
      <c r="M15" s="2812"/>
      <c r="N15" s="2812"/>
      <c r="O15" s="2812"/>
      <c r="P15" s="2044"/>
      <c r="Q15" s="2044"/>
      <c r="R15" s="2625">
        <v>14</v>
      </c>
      <c r="S15" s="2614"/>
      <c r="T15" s="2625" t="e">
        <f t="shared" si="0"/>
        <v>#DIV/0!</v>
      </c>
      <c r="U15" s="2614"/>
      <c r="V15" s="2625" t="e">
        <f t="shared" si="1"/>
        <v>#DIV/0!</v>
      </c>
      <c r="W15" s="2044"/>
      <c r="X15" s="2044"/>
      <c r="Y15" s="2044"/>
      <c r="Z15" s="2044"/>
      <c r="AA15" s="2044"/>
      <c r="AB15" s="2044"/>
      <c r="AC15" s="2045"/>
    </row>
    <row r="16" spans="1:39" ht="24.6" customHeight="1">
      <c r="A16" s="3573" t="s">
        <v>1818</v>
      </c>
      <c r="B16" s="1351" t="s">
        <v>930</v>
      </c>
      <c r="C16" s="1022" t="e">
        <f>ROUND(IF(F17="与级别开发程度一致",0,(G17-E17)/C17),0)</f>
        <v>#DIV/0!</v>
      </c>
      <c r="D16" s="3567" t="s">
        <v>934</v>
      </c>
      <c r="E16" s="3568"/>
      <c r="F16" s="3567" t="s">
        <v>931</v>
      </c>
      <c r="G16" s="3568"/>
      <c r="H16" s="1383"/>
      <c r="I16" s="1383"/>
      <c r="J16" s="1383"/>
      <c r="K16" s="1383"/>
      <c r="L16" s="1383"/>
      <c r="M16" s="1383"/>
      <c r="N16" s="1383"/>
      <c r="O16" s="2821"/>
      <c r="P16" s="2044"/>
      <c r="Q16" s="2047"/>
      <c r="R16" s="2625">
        <v>15</v>
      </c>
      <c r="S16" s="2614"/>
      <c r="T16" s="2625" t="e">
        <f t="shared" si="0"/>
        <v>#DIV/0!</v>
      </c>
      <c r="U16" s="2614"/>
      <c r="V16" s="2625" t="e">
        <f t="shared" si="1"/>
        <v>#DIV/0!</v>
      </c>
      <c r="W16" s="2047"/>
      <c r="X16" s="2047"/>
      <c r="Y16" s="2047"/>
      <c r="Z16" s="2047"/>
      <c r="AA16" s="2047"/>
      <c r="AB16" s="2047"/>
      <c r="AC16" s="2048"/>
    </row>
    <row r="17" spans="1:40" ht="13.5" thickBot="1">
      <c r="A17" s="3577"/>
      <c r="B17" s="2822" t="s">
        <v>933</v>
      </c>
      <c r="C17" s="2823">
        <f>SUMPRODUCT((修正!A2:A5=E2)*(修正!B1:M1=G2)*(修正!B2:M5))</f>
        <v>0</v>
      </c>
      <c r="D17" s="2824" t="str">
        <f>IF(OR(G2="八级",G2="九级",G2="十级",G2="十一级",G2="十二级"),"五通一平","七通一平")</f>
        <v>七通一平</v>
      </c>
      <c r="E17" s="2814">
        <f>SUMPRODUCT((修正!B1:M1=G2)*(修正!B15:M15))</f>
        <v>0</v>
      </c>
      <c r="F17" s="2815"/>
      <c r="G17" s="2814">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825">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68" t="s">
        <v>1809</v>
      </c>
      <c r="B18" s="2817" t="s">
        <v>935</v>
      </c>
      <c r="C18" s="2818">
        <f>SUMIF(修正!C18:C39,E3,修正!E18:E39)</f>
        <v>0</v>
      </c>
      <c r="D18" s="2819"/>
      <c r="E18" s="2820"/>
      <c r="F18" s="2803"/>
      <c r="G18" s="2802"/>
      <c r="H18" s="2802"/>
      <c r="I18" s="2802"/>
      <c r="J18" s="2810"/>
      <c r="K18" s="3202"/>
      <c r="L18" s="2802"/>
      <c r="M18" s="2802"/>
      <c r="N18" s="2802"/>
      <c r="O18" s="2802"/>
      <c r="P18" s="3207"/>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ROUND(IF(H19="按公示增长率计算",SUMPRODUCT((地价!A3:A36=YEAR(G19)&amp;"-"&amp;ROUNDUP(MONTH(G19)/3,0))*(地价!X2:AB2=E2)*(地价!X3:AB36)),IF(H19="地价指数",M20/M19,(1+I19)^O19)),4)</f>
        <v>0</v>
      </c>
      <c r="D19" s="1390" t="s">
        <v>937</v>
      </c>
      <c r="E19" s="1024">
        <v>41640</v>
      </c>
      <c r="F19" s="1390" t="s">
        <v>938</v>
      </c>
      <c r="G19" s="1025">
        <f>'数据-取费表'!B2</f>
        <v>44574</v>
      </c>
      <c r="H19" s="1391" t="s">
        <v>2930</v>
      </c>
      <c r="I19" s="2474" t="str">
        <f>IF(H19="季度增幅（自定义）",SUMIF(N21:N24,E2,O21:O24),"")</f>
        <v/>
      </c>
      <c r="J19" s="1387"/>
      <c r="K19" s="3202"/>
      <c r="L19" s="2721" t="s">
        <v>2797</v>
      </c>
      <c r="M19" s="2722">
        <f>ROUND(SUMIF(地价!B2:F2,E2,地价!B36:F36),0)</f>
        <v>0</v>
      </c>
      <c r="N19" s="2476" t="s">
        <v>1656</v>
      </c>
      <c r="O19" s="2475">
        <f>ROUNDDOWN(DATEDIF(E19,G19,"M")/3,0)</f>
        <v>32</v>
      </c>
      <c r="P19" s="2048"/>
      <c r="Q19" s="2613"/>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68" t="s">
        <v>1816</v>
      </c>
      <c r="B20" s="2469" t="s">
        <v>951</v>
      </c>
      <c r="C20" s="2470" t="e">
        <f>ROUND(POWER(1+G20,J20-I20)*(POWER(1+G20,I20)-1)/(POWER(1+G20,J20)-1),4)</f>
        <v>#DIV/0!</v>
      </c>
      <c r="D20" s="2471" t="s">
        <v>952</v>
      </c>
      <c r="E20" s="2751">
        <f>存贷款利率!E18/100</f>
        <v>4.3499999999999997E-2</v>
      </c>
      <c r="F20" s="2471" t="s">
        <v>953</v>
      </c>
      <c r="G20" s="2472">
        <f>SUMIF(M26:P26,E2,M28:P28)</f>
        <v>0</v>
      </c>
      <c r="H20" s="2471" t="s">
        <v>954</v>
      </c>
      <c r="I20" s="2467" t="e">
        <f>SUMIF('数据-取费表'!C6:C15,E2,'数据-取费表'!F6:F15)/COUNTIF('数据-取费表'!C6:C15,E2)</f>
        <v>#DIV/0!</v>
      </c>
      <c r="J20" s="2473">
        <f>IF(E2="住宅",70,IF(E2="商业",40,50))</f>
        <v>50</v>
      </c>
      <c r="K20" s="2812"/>
      <c r="L20" s="2723" t="s">
        <v>2798</v>
      </c>
      <c r="M20" s="2805">
        <f>ROUND(SUMPRODUCT((地价!A4:A36=YEAR(G19)&amp;"-"&amp;ROUNDUP(MONTH(G19)/3,0))*(地价!B2:F2=E2)*(地价!B4:F36)),0)</f>
        <v>0</v>
      </c>
      <c r="N20" s="2479" t="s">
        <v>2605</v>
      </c>
      <c r="O20" s="2477" t="s">
        <v>2604</v>
      </c>
      <c r="P20" s="2478" t="s">
        <v>2609</v>
      </c>
      <c r="Q20" s="2613"/>
      <c r="R20" s="2050"/>
      <c r="S20" s="2050"/>
      <c r="T20" s="2050"/>
      <c r="U20" s="2050"/>
      <c r="V20" s="2050"/>
      <c r="W20" s="2050"/>
      <c r="X20" s="2050"/>
      <c r="Y20" s="1388"/>
      <c r="Z20" s="1388"/>
      <c r="AA20" s="1388"/>
      <c r="AB20" s="1388"/>
      <c r="AC20" s="1388"/>
      <c r="AD20" s="1388"/>
    </row>
    <row r="21" spans="1:40" s="1345" customFormat="1" ht="14.25">
      <c r="A21" s="1545" t="s">
        <v>1817</v>
      </c>
      <c r="B21" s="1396" t="s">
        <v>2965</v>
      </c>
      <c r="C21" s="1124" t="b">
        <f>IF(B21="容积率修正",IF(G3&lt;=10,D22,J22),C23)</f>
        <v>0</v>
      </c>
      <c r="D21" s="1397"/>
      <c r="E21" s="1397"/>
      <c r="F21" s="1397"/>
      <c r="G21" s="1397"/>
      <c r="H21" s="1397"/>
      <c r="I21" s="1397"/>
      <c r="J21" s="1398"/>
      <c r="K21" s="3202"/>
      <c r="L21" s="1397"/>
      <c r="M21" s="1397"/>
      <c r="N21" s="1394" t="s">
        <v>955</v>
      </c>
      <c r="O21" s="1457"/>
      <c r="P21" s="2466">
        <f>SUMPRODUCT((地价!A3:A36=YEAR(G19)&amp;"-"&amp;ROUNDUP(MONTH(G19)/3,0))*(地价!AD2:AH2=N21)*(地价!AD3:AH36))</f>
        <v>0</v>
      </c>
      <c r="Q21" s="2613"/>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208"/>
      <c r="L22" s="1397"/>
      <c r="M22" s="1397"/>
      <c r="N22" s="1394" t="s">
        <v>958</v>
      </c>
      <c r="O22" s="1457"/>
      <c r="P22" s="2466">
        <f>SUMPRODUCT((地价!A3:A36=YEAR(G19)&amp;"-"&amp;ROUNDUP(MONTH(G19)/3,0))*(地价!AD2:AH2=N22)*(地价!AD3:AH36))</f>
        <v>0</v>
      </c>
      <c r="Q22" s="2613"/>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209"/>
      <c r="L23" s="1325"/>
      <c r="M23" s="1325"/>
      <c r="N23" s="1394" t="s">
        <v>903</v>
      </c>
      <c r="O23" s="1457"/>
      <c r="P23" s="2466">
        <f>SUMPRODUCT((地价!A3:A36=YEAR(G19)&amp;"-"&amp;ROUNDUP(MONTH(G19)/3,0))*(地价!AD2:AH2=N23)*(地价!AD3:AH36))</f>
        <v>0</v>
      </c>
      <c r="Q23" s="2613"/>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209"/>
      <c r="L24" s="1397"/>
      <c r="M24" s="1397"/>
      <c r="N24" s="1394" t="s">
        <v>961</v>
      </c>
      <c r="O24" s="2804"/>
      <c r="P24" s="2466">
        <f>SUMPRODUCT((地价!A3:A36=YEAR(G19)&amp;"-"&amp;ROUNDUP(MONTH(G19)/3,0))*(地价!AD2:AH2=N24)*(地价!AD3:AH36))</f>
        <v>0</v>
      </c>
      <c r="Q24" s="2613"/>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203"/>
      <c r="L25" s="2050"/>
      <c r="M25" s="2050"/>
      <c r="N25" s="2806" t="s">
        <v>2607</v>
      </c>
      <c r="O25" s="2807"/>
      <c r="P25" s="2276">
        <f>SUMPRODUCT((地价!A3:A36=YEAR(G19)&amp;"-"&amp;ROUNDUP(MONTH(G19)/3,0))*(地价!AD2:AH2=N25)*(地价!AD3:AH36))</f>
        <v>0</v>
      </c>
      <c r="Q25" s="2613"/>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85" t="e">
        <f>IF(B21="容积率修正",E29+SUM(E33:E39),SUM(V2:V16)+SUM(E33:E39))</f>
        <v>#DIV/0!</v>
      </c>
      <c r="D26" s="1405"/>
      <c r="E26" s="1380"/>
      <c r="F26" s="1406"/>
      <c r="G26" s="1380"/>
      <c r="H26" s="1380"/>
      <c r="I26" s="1380"/>
      <c r="J26" s="1407"/>
      <c r="K26" s="3203"/>
      <c r="L26" s="1504" t="s">
        <v>878</v>
      </c>
      <c r="M26" s="1352" t="s">
        <v>963</v>
      </c>
      <c r="N26" s="1352" t="s">
        <v>964</v>
      </c>
      <c r="O26" s="1352" t="s">
        <v>882</v>
      </c>
      <c r="P26" s="1392" t="s">
        <v>965</v>
      </c>
      <c r="Q26" s="2613"/>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203"/>
      <c r="L27" s="1384" t="s">
        <v>967</v>
      </c>
      <c r="M27" s="1017">
        <v>0.25</v>
      </c>
      <c r="N27" s="1017">
        <v>0.2</v>
      </c>
      <c r="O27" s="1017">
        <v>0.15</v>
      </c>
      <c r="P27" s="1454">
        <v>0.1</v>
      </c>
      <c r="Q27" s="2050"/>
      <c r="R27" s="2613"/>
      <c r="S27" s="2613"/>
      <c r="T27" s="2613"/>
      <c r="U27" s="2613"/>
      <c r="V27" s="2613"/>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203"/>
      <c r="L28" s="1385" t="s">
        <v>953</v>
      </c>
      <c r="M28" s="1455">
        <f>ROUND($E$20*(1+M27),3)</f>
        <v>5.3999999999999999E-2</v>
      </c>
      <c r="N28" s="1455">
        <f>ROUND($E$20*(1+N27),3)</f>
        <v>5.1999999999999998E-2</v>
      </c>
      <c r="O28" s="1455">
        <f>ROUND($E$20*(1+O27),3)</f>
        <v>0.05</v>
      </c>
      <c r="P28" s="1456">
        <f>ROUND($E$20*(1+P27),3)</f>
        <v>4.8000000000000001E-2</v>
      </c>
      <c r="Q28" s="2050"/>
      <c r="R28" s="2613"/>
      <c r="S28" s="2613"/>
      <c r="T28" s="2613"/>
      <c r="U28" s="2613"/>
      <c r="V28" s="2613"/>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210"/>
      <c r="L29" s="3210"/>
      <c r="M29" s="3210"/>
      <c r="N29" s="3210"/>
      <c r="O29" s="3210"/>
      <c r="P29" s="2044"/>
      <c r="Q29" s="2050"/>
      <c r="R29" s="2050"/>
      <c r="S29" s="2050"/>
      <c r="T29" s="2050"/>
      <c r="U29" s="2050"/>
      <c r="V29" s="2050"/>
      <c r="W29" s="2613"/>
      <c r="X29" s="2613"/>
      <c r="Y29" s="2613"/>
      <c r="Z29" s="2613"/>
      <c r="AA29" s="2613"/>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203"/>
      <c r="L30" s="3203"/>
      <c r="M30" s="3203"/>
      <c r="N30" s="3203"/>
      <c r="O30" s="3203"/>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203"/>
      <c r="L31" s="3203"/>
      <c r="M31" s="3203"/>
      <c r="N31" s="3203"/>
      <c r="O31" s="3203"/>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211"/>
      <c r="L32" s="3211"/>
      <c r="M32" s="3211"/>
      <c r="N32" s="3211"/>
      <c r="O32" s="3211"/>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569"/>
      <c r="B33" s="1439" t="s">
        <v>979</v>
      </c>
      <c r="C33" s="1029" t="e">
        <f>ROUND(D5*C19*C20*C24*F33,0)</f>
        <v>#DIV/0!</v>
      </c>
      <c r="D33" s="1452"/>
      <c r="E33" s="1018" t="e">
        <f>ROUND(C33*D33/10000,0)</f>
        <v>#DIV/0!</v>
      </c>
      <c r="F33" s="1018">
        <f>SUMIF(修正!A45:A56,G2,修正!B45:B56)</f>
        <v>0</v>
      </c>
      <c r="G33" s="1018" t="e">
        <f t="shared" ref="G33" si="6">ROUND(IF(E2="工业",C33*$M$39,C33*$M$38),0)</f>
        <v>#DIV/0!</v>
      </c>
      <c r="H33" s="1018">
        <f>D33</f>
        <v>0</v>
      </c>
      <c r="I33" s="1018" t="e">
        <f>ROUND(G33*H33/10000,0)</f>
        <v>#DIV/0!</v>
      </c>
      <c r="J33" s="3569" t="s">
        <v>2969</v>
      </c>
      <c r="K33" s="2811"/>
      <c r="L33" s="2811"/>
      <c r="M33" s="2811"/>
      <c r="N33" s="2811"/>
      <c r="O33" s="2811"/>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570"/>
      <c r="B34" s="1369" t="s">
        <v>980</v>
      </c>
      <c r="C34" s="1029" t="e">
        <f>ROUND(D5*C19*C20*C24*F34,0)</f>
        <v>#DIV/0!</v>
      </c>
      <c r="D34" s="1452"/>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570"/>
      <c r="K34" s="2811"/>
      <c r="L34" s="2811"/>
      <c r="M34" s="2811"/>
      <c r="N34" s="2811"/>
      <c r="O34" s="2811"/>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570"/>
      <c r="B35" s="1369" t="s">
        <v>981</v>
      </c>
      <c r="C35" s="1029" t="e">
        <f>ROUND(D5*C19*C20*C24*F35,0)</f>
        <v>#DIV/0!</v>
      </c>
      <c r="D35" s="1452"/>
      <c r="E35" s="1018" t="e">
        <f t="shared" si="7"/>
        <v>#DIV/0!</v>
      </c>
      <c r="F35" s="1018">
        <f>SUMIF(修正!A45:A56,G2,修正!D45:D56)</f>
        <v>0</v>
      </c>
      <c r="G35" s="1018" t="e">
        <f>ROUND(IF(E2="工业",C35*$M$39,C35*$M$38),0)</f>
        <v>#DIV/0!</v>
      </c>
      <c r="H35" s="1018">
        <f t="shared" si="8"/>
        <v>0</v>
      </c>
      <c r="I35" s="1018" t="e">
        <f t="shared" si="9"/>
        <v>#DIV/0!</v>
      </c>
      <c r="J35" s="3570"/>
      <c r="K35" s="2811"/>
      <c r="L35" s="2811"/>
      <c r="M35" s="2811"/>
      <c r="N35" s="2811"/>
      <c r="O35" s="2811"/>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571"/>
      <c r="B36" s="1369" t="s">
        <v>982</v>
      </c>
      <c r="C36" s="1029" t="e">
        <f>ROUND(D5*C19*C20*C24*F36,0)</f>
        <v>#DIV/0!</v>
      </c>
      <c r="D36" s="1452"/>
      <c r="E36" s="1018" t="e">
        <f t="shared" si="7"/>
        <v>#DIV/0!</v>
      </c>
      <c r="F36" s="1018">
        <f>SUMIF(修正!A45:A56,G2,修正!E45:E56)</f>
        <v>0</v>
      </c>
      <c r="G36" s="1018" t="e">
        <f>ROUND(IF(E2="工业",C36*$M$39,C36*$M$38),0)</f>
        <v>#DIV/0!</v>
      </c>
      <c r="H36" s="1018">
        <f t="shared" si="8"/>
        <v>0</v>
      </c>
      <c r="I36" s="1018" t="e">
        <f t="shared" si="9"/>
        <v>#DIV/0!</v>
      </c>
      <c r="J36" s="3571"/>
      <c r="K36" s="2811"/>
      <c r="L36" s="2811"/>
      <c r="M36" s="2811"/>
      <c r="N36" s="2811"/>
      <c r="O36" s="2811"/>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801" t="s">
        <v>2925</v>
      </c>
      <c r="C41" s="811" t="e">
        <f>ROUND(POWER(1+E41,H41-G41)*(POWER(1+E41,G41)-1)/(POWER(1+E41,H41)-1),4)</f>
        <v>#DIV/0!</v>
      </c>
      <c r="D41" s="372" t="s">
        <v>2923</v>
      </c>
      <c r="E41" s="2800">
        <f>G20</f>
        <v>0</v>
      </c>
      <c r="F41" s="372" t="s">
        <v>2924</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53" t="s">
        <v>2881</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52" t="s">
        <v>2880</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53" t="s">
        <v>2882</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52" t="s">
        <v>2880</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52" t="s">
        <v>2880</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c r="D80" s="2246">
        <f t="shared" ref="D80:D87" si="25">SUMIF($J$79:$N$79,C80,J80:N80)</f>
        <v>0</v>
      </c>
      <c r="E80" s="2265">
        <f>ROUND(SUM(D80:D87),4)</f>
        <v>0</v>
      </c>
      <c r="F80" s="2266" t="str">
        <f>IF(E2="工业",SUMIF(L1:L12,G2,N1:N12),"——")</f>
        <v>——</v>
      </c>
      <c r="G80" s="2244"/>
      <c r="H80" s="2289" t="str">
        <f t="shared" ref="H80:H87" si="26">IFERROR(ROUNDDOWN($F$80*I80/2,4),"——")</f>
        <v>——</v>
      </c>
      <c r="I80" s="2264">
        <v>0.26</v>
      </c>
      <c r="J80" s="2267">
        <f t="shared" ref="J80:J87" si="27">K80+$G80</f>
        <v>0</v>
      </c>
      <c r="K80" s="2267">
        <f t="shared" ref="K80:K87" si="28">$L80+$G80</f>
        <v>0</v>
      </c>
      <c r="L80" s="2267">
        <v>0</v>
      </c>
      <c r="M80" s="2267">
        <f t="shared" ref="M80:N87" si="29">L80-$G80</f>
        <v>0</v>
      </c>
      <c r="N80" s="2267">
        <f t="shared" si="29"/>
        <v>0</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c r="D81" s="2246">
        <f t="shared" si="25"/>
        <v>0</v>
      </c>
      <c r="E81" s="2274"/>
      <c r="F81" s="2275"/>
      <c r="G81" s="2244"/>
      <c r="H81" s="2289" t="str">
        <f t="shared" si="26"/>
        <v>——</v>
      </c>
      <c r="I81" s="2264">
        <v>0.33</v>
      </c>
      <c r="J81" s="2267">
        <f t="shared" si="27"/>
        <v>0</v>
      </c>
      <c r="K81" s="2267">
        <f t="shared" si="28"/>
        <v>0</v>
      </c>
      <c r="L81" s="2267">
        <v>0</v>
      </c>
      <c r="M81" s="2267">
        <f t="shared" si="29"/>
        <v>0</v>
      </c>
      <c r="N81" s="2267">
        <f t="shared" si="29"/>
        <v>0</v>
      </c>
      <c r="AC81" s="1329"/>
      <c r="AD81" s="1328"/>
      <c r="AJ81" s="1327"/>
      <c r="AN81" s="1328"/>
    </row>
    <row r="82" spans="1:40" ht="24">
      <c r="A82" s="1033" t="s">
        <v>1002</v>
      </c>
      <c r="B82" s="2237">
        <f>估价对象房地状况!G17</f>
        <v>0</v>
      </c>
      <c r="C82" s="1020"/>
      <c r="D82" s="2246">
        <f t="shared" si="25"/>
        <v>0</v>
      </c>
      <c r="E82" s="2274"/>
      <c r="F82" s="2275"/>
      <c r="G82" s="2244"/>
      <c r="H82" s="2289" t="str">
        <f t="shared" si="26"/>
        <v>——</v>
      </c>
      <c r="I82" s="2264">
        <v>0.05</v>
      </c>
      <c r="J82" s="2267">
        <f t="shared" si="27"/>
        <v>0</v>
      </c>
      <c r="K82" s="2267">
        <f t="shared" si="28"/>
        <v>0</v>
      </c>
      <c r="L82" s="2267">
        <v>0</v>
      </c>
      <c r="M82" s="2267">
        <f t="shared" si="29"/>
        <v>0</v>
      </c>
      <c r="N82" s="2267">
        <f t="shared" si="29"/>
        <v>0</v>
      </c>
      <c r="AC82" s="1329"/>
      <c r="AD82" s="1328"/>
      <c r="AJ82" s="1327"/>
      <c r="AN82" s="1328"/>
    </row>
    <row r="83" spans="1:40" ht="14.25">
      <c r="A83" s="1033" t="s">
        <v>1014</v>
      </c>
      <c r="B83" s="2237">
        <f>估价对象房地状况!G22</f>
        <v>0</v>
      </c>
      <c r="C83" s="1020"/>
      <c r="D83" s="2246">
        <f t="shared" si="25"/>
        <v>0</v>
      </c>
      <c r="E83" s="2274"/>
      <c r="F83" s="2275"/>
      <c r="G83" s="2244"/>
      <c r="H83" s="2289" t="str">
        <f t="shared" si="26"/>
        <v>——</v>
      </c>
      <c r="I83" s="2264">
        <v>0.04</v>
      </c>
      <c r="J83" s="2267">
        <f t="shared" si="27"/>
        <v>0</v>
      </c>
      <c r="K83" s="2267">
        <f t="shared" si="28"/>
        <v>0</v>
      </c>
      <c r="L83" s="2267">
        <v>0</v>
      </c>
      <c r="M83" s="2267">
        <f t="shared" si="29"/>
        <v>0</v>
      </c>
      <c r="N83" s="2267">
        <f t="shared" si="29"/>
        <v>0</v>
      </c>
      <c r="AC83" s="1329"/>
      <c r="AD83" s="1328"/>
      <c r="AJ83" s="1327"/>
      <c r="AN83" s="1328"/>
    </row>
    <row r="84" spans="1:40" ht="24">
      <c r="A84" s="1033" t="s">
        <v>1006</v>
      </c>
      <c r="B84" s="2238" t="str">
        <f>估价对象房地状况!G19</f>
        <v>估价对象所在区域公共配套设施齐备情况</v>
      </c>
      <c r="C84" s="1020"/>
      <c r="D84" s="2246">
        <f t="shared" si="25"/>
        <v>0</v>
      </c>
      <c r="E84" s="2274"/>
      <c r="F84" s="2275"/>
      <c r="G84" s="2244"/>
      <c r="H84" s="2289" t="str">
        <f t="shared" si="26"/>
        <v>——</v>
      </c>
      <c r="I84" s="2264">
        <v>0.06</v>
      </c>
      <c r="J84" s="2267">
        <f t="shared" si="27"/>
        <v>0</v>
      </c>
      <c r="K84" s="2267">
        <f t="shared" si="28"/>
        <v>0</v>
      </c>
      <c r="L84" s="2267">
        <v>0</v>
      </c>
      <c r="M84" s="2267">
        <f t="shared" si="29"/>
        <v>0</v>
      </c>
      <c r="N84" s="2267">
        <f t="shared" si="29"/>
        <v>0</v>
      </c>
      <c r="AC84" s="1329"/>
      <c r="AD84" s="1328"/>
      <c r="AJ84" s="1327"/>
      <c r="AN84" s="1328"/>
    </row>
    <row r="85" spans="1:40" ht="24">
      <c r="A85" s="1033" t="s">
        <v>1007</v>
      </c>
      <c r="B85" s="2238" t="str">
        <f>估价对象房地状况!G20</f>
        <v>估价对象所在区域基础设施水平</v>
      </c>
      <c r="C85" s="1020"/>
      <c r="D85" s="2246">
        <f t="shared" si="25"/>
        <v>0</v>
      </c>
      <c r="E85" s="2274"/>
      <c r="F85" s="2275"/>
      <c r="G85" s="2244"/>
      <c r="H85" s="2289" t="str">
        <f t="shared" si="26"/>
        <v>——</v>
      </c>
      <c r="I85" s="2264">
        <v>0.15</v>
      </c>
      <c r="J85" s="2267">
        <f t="shared" si="27"/>
        <v>0</v>
      </c>
      <c r="K85" s="2267">
        <f t="shared" si="28"/>
        <v>0</v>
      </c>
      <c r="L85" s="2267">
        <v>0</v>
      </c>
      <c r="M85" s="2267">
        <f t="shared" si="29"/>
        <v>0</v>
      </c>
      <c r="N85" s="2267">
        <f t="shared" si="29"/>
        <v>0</v>
      </c>
      <c r="AC85" s="1329"/>
      <c r="AD85" s="1328"/>
      <c r="AJ85" s="1327"/>
      <c r="AN85" s="1328"/>
    </row>
    <row r="86" spans="1:40" ht="24">
      <c r="A86" s="1033" t="s">
        <v>1005</v>
      </c>
      <c r="B86" s="2752" t="s">
        <v>2880</v>
      </c>
      <c r="C86" s="1020"/>
      <c r="D86" s="2246">
        <f t="shared" si="25"/>
        <v>0</v>
      </c>
      <c r="E86" s="2274"/>
      <c r="F86" s="2275"/>
      <c r="G86" s="2244"/>
      <c r="H86" s="2289" t="str">
        <f t="shared" si="26"/>
        <v>——</v>
      </c>
      <c r="I86" s="2264">
        <v>0.05</v>
      </c>
      <c r="J86" s="2267">
        <f t="shared" si="27"/>
        <v>0</v>
      </c>
      <c r="K86" s="2267">
        <f t="shared" si="28"/>
        <v>0</v>
      </c>
      <c r="L86" s="2267">
        <v>0</v>
      </c>
      <c r="M86" s="2267">
        <f t="shared" si="29"/>
        <v>0</v>
      </c>
      <c r="N86" s="2267">
        <f t="shared" si="29"/>
        <v>0</v>
      </c>
      <c r="AC86" s="1329"/>
      <c r="AD86" s="1328"/>
      <c r="AJ86" s="1327"/>
      <c r="AN86" s="1328"/>
    </row>
    <row r="87" spans="1:40" ht="36.75" thickBot="1">
      <c r="A87" s="2270" t="s">
        <v>1018</v>
      </c>
      <c r="B87" s="2239" t="str">
        <f>估价对象房地状况!G18</f>
        <v>该园区内是否有污染型企业，绿化情况，卫生条件，整体环境状况判断</v>
      </c>
      <c r="C87" s="1020"/>
      <c r="D87" s="2246">
        <f t="shared" si="25"/>
        <v>0</v>
      </c>
      <c r="E87" s="2276"/>
      <c r="F87" s="2275"/>
      <c r="G87" s="2244"/>
      <c r="H87" s="2289" t="str">
        <f t="shared" si="26"/>
        <v>——</v>
      </c>
      <c r="I87" s="2271">
        <v>0.06</v>
      </c>
      <c r="J87" s="2267">
        <f t="shared" si="27"/>
        <v>0</v>
      </c>
      <c r="K87" s="2267">
        <f t="shared" si="28"/>
        <v>0</v>
      </c>
      <c r="L87" s="2267">
        <v>0</v>
      </c>
      <c r="M87" s="2267">
        <f t="shared" si="29"/>
        <v>0</v>
      </c>
      <c r="N87" s="2267">
        <f t="shared" si="29"/>
        <v>0</v>
      </c>
      <c r="AC87" s="1329"/>
      <c r="AD87" s="1328"/>
      <c r="AJ87" s="1327"/>
      <c r="AN87" s="1328"/>
    </row>
    <row r="90" spans="1:40">
      <c r="A90" s="3578" t="s">
        <v>1613</v>
      </c>
      <c r="B90" s="3578"/>
      <c r="C90" s="3578"/>
      <c r="D90" s="3578"/>
      <c r="E90" s="3578"/>
      <c r="F90" s="3578"/>
      <c r="G90" s="3578"/>
      <c r="H90" s="3578"/>
      <c r="I90" s="3578"/>
      <c r="J90" s="3578"/>
      <c r="K90" s="2279"/>
      <c r="L90" s="2279"/>
      <c r="M90" s="2279"/>
      <c r="N90" s="2279"/>
    </row>
    <row r="91" spans="1:40">
      <c r="A91" s="3579" t="s">
        <v>1423</v>
      </c>
      <c r="B91" s="3579" t="s">
        <v>1614</v>
      </c>
      <c r="C91" s="1106" t="s">
        <v>1615</v>
      </c>
      <c r="D91" s="1107"/>
      <c r="E91" s="1107"/>
      <c r="F91" s="1107"/>
      <c r="G91" s="1107"/>
      <c r="H91" s="1107"/>
      <c r="I91" s="1107"/>
      <c r="J91" s="1108"/>
      <c r="K91" s="1100"/>
      <c r="L91" s="1100"/>
      <c r="M91" s="1100"/>
      <c r="N91" s="1100"/>
    </row>
    <row r="92" spans="1:40">
      <c r="A92" s="3579"/>
      <c r="B92" s="3579"/>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562" t="s">
        <v>2722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563"/>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563"/>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563"/>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563"/>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563"/>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563"/>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564"/>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562" t="s">
        <v>1617</v>
      </c>
      <c r="B101" s="1113" t="s">
        <v>886</v>
      </c>
      <c r="C101" s="1114">
        <f>$G$3</f>
        <v>0</v>
      </c>
      <c r="D101" s="1114">
        <f t="shared" ref="D101:N101" si="31">$G$3</f>
        <v>0</v>
      </c>
      <c r="E101" s="1114">
        <f t="shared" si="31"/>
        <v>0</v>
      </c>
      <c r="F101" s="1114">
        <f t="shared" si="31"/>
        <v>0</v>
      </c>
      <c r="G101" s="1114">
        <f t="shared" si="31"/>
        <v>0</v>
      </c>
      <c r="H101" s="1114">
        <f t="shared" si="31"/>
        <v>0</v>
      </c>
      <c r="I101" s="1114">
        <f t="shared" si="31"/>
        <v>0</v>
      </c>
      <c r="J101" s="1114">
        <f t="shared" si="31"/>
        <v>0</v>
      </c>
      <c r="K101" s="1114">
        <f t="shared" si="31"/>
        <v>0</v>
      </c>
      <c r="L101" s="1114">
        <f t="shared" si="31"/>
        <v>0</v>
      </c>
      <c r="M101" s="1114">
        <f t="shared" si="31"/>
        <v>0</v>
      </c>
      <c r="N101" s="1114">
        <f t="shared" si="31"/>
        <v>0</v>
      </c>
    </row>
    <row r="102" spans="1:14">
      <c r="A102" s="3563"/>
      <c r="B102" s="1109">
        <v>1</v>
      </c>
      <c r="C102" s="1110" t="e">
        <f>1.9362/C101</f>
        <v>#DIV/0!</v>
      </c>
      <c r="D102" s="1110" t="e">
        <f>1.9362/D101</f>
        <v>#DIV/0!</v>
      </c>
      <c r="E102" s="1110" t="e">
        <f>1.8629/E101</f>
        <v>#DIV/0!</v>
      </c>
      <c r="F102" s="1110" t="e">
        <f>1.8629/F101</f>
        <v>#DIV/0!</v>
      </c>
      <c r="G102" s="1110" t="e">
        <f>1.8629/G101</f>
        <v>#DIV/0!</v>
      </c>
      <c r="H102" s="1110" t="e">
        <f>1.8629/H101</f>
        <v>#DIV/0!</v>
      </c>
      <c r="I102" s="1110" t="e">
        <f>1.8629/I101</f>
        <v>#DIV/0!</v>
      </c>
      <c r="J102" s="1110" t="e">
        <f>1.942/J101</f>
        <v>#DIV/0!</v>
      </c>
      <c r="K102" s="1110" t="e">
        <f>1.942/K101</f>
        <v>#DIV/0!</v>
      </c>
      <c r="L102" s="1110" t="e">
        <f>1.942/L101</f>
        <v>#DIV/0!</v>
      </c>
      <c r="M102" s="1110" t="e">
        <f>1.942/M101</f>
        <v>#DIV/0!</v>
      </c>
      <c r="N102" s="1110" t="e">
        <f>1.942/N101</f>
        <v>#DIV/0!</v>
      </c>
    </row>
    <row r="103" spans="1:14">
      <c r="A103" s="3563"/>
      <c r="B103" s="1109">
        <v>2</v>
      </c>
      <c r="C103" s="1110" t="e">
        <f>1.4198/C101</f>
        <v>#DIV/0!</v>
      </c>
      <c r="D103" s="1110" t="e">
        <f>1.4198/D101</f>
        <v>#DIV/0!</v>
      </c>
      <c r="E103" s="1110" t="e">
        <f>1.3372/E101</f>
        <v>#DIV/0!</v>
      </c>
      <c r="F103" s="1110" t="e">
        <f>1.3372/F101</f>
        <v>#DIV/0!</v>
      </c>
      <c r="G103" s="1110" t="e">
        <f>1.3372/G101</f>
        <v>#DIV/0!</v>
      </c>
      <c r="H103" s="1110" t="e">
        <f>1.3372/H101</f>
        <v>#DIV/0!</v>
      </c>
      <c r="I103" s="1110" t="e">
        <f>1.3372/I101</f>
        <v>#DIV/0!</v>
      </c>
      <c r="J103" s="1110" t="e">
        <f>1.2799/J101</f>
        <v>#DIV/0!</v>
      </c>
      <c r="K103" s="1110" t="e">
        <f>1.2799/K101</f>
        <v>#DIV/0!</v>
      </c>
      <c r="L103" s="1110" t="e">
        <f>1.2799/L101</f>
        <v>#DIV/0!</v>
      </c>
      <c r="M103" s="1110" t="e">
        <f>1.2799/M101</f>
        <v>#DIV/0!</v>
      </c>
      <c r="N103" s="1110" t="e">
        <f>1.2799/N101</f>
        <v>#DIV/0!</v>
      </c>
    </row>
    <row r="104" spans="1:14">
      <c r="A104" s="3563"/>
      <c r="B104" s="1109">
        <v>3</v>
      </c>
      <c r="C104" s="1110" t="e">
        <f>1.1594/C101</f>
        <v>#DIV/0!</v>
      </c>
      <c r="D104" s="1110" t="e">
        <f>1.1594/D101</f>
        <v>#DIV/0!</v>
      </c>
      <c r="E104" s="1110" t="e">
        <f>1.0788/E101</f>
        <v>#DIV/0!</v>
      </c>
      <c r="F104" s="1110" t="e">
        <f>1.0788/F101</f>
        <v>#DIV/0!</v>
      </c>
      <c r="G104" s="1110" t="e">
        <f>1.0788/G101</f>
        <v>#DIV/0!</v>
      </c>
      <c r="H104" s="1110" t="e">
        <f>1.0788/H101</f>
        <v>#DIV/0!</v>
      </c>
      <c r="I104" s="1110" t="e">
        <f>1.0788/I101</f>
        <v>#DIV/0!</v>
      </c>
      <c r="J104" s="1110" t="e">
        <f>1.0072/J101</f>
        <v>#DIV/0!</v>
      </c>
      <c r="K104" s="1110" t="e">
        <f>1.0072/K101</f>
        <v>#DIV/0!</v>
      </c>
      <c r="L104" s="1110" t="e">
        <f>1.0072/L101</f>
        <v>#DIV/0!</v>
      </c>
      <c r="M104" s="1110" t="e">
        <f>1.0072/M101</f>
        <v>#DIV/0!</v>
      </c>
      <c r="N104" s="1110" t="e">
        <f>1.0072/N101</f>
        <v>#DIV/0!</v>
      </c>
    </row>
    <row r="105" spans="1:14">
      <c r="A105" s="3563"/>
      <c r="B105" s="1109">
        <v>4</v>
      </c>
      <c r="C105" s="1110" t="e">
        <f>0.9622/C101</f>
        <v>#DIV/0!</v>
      </c>
      <c r="D105" s="1110" t="e">
        <f>0.9622/D101</f>
        <v>#DIV/0!</v>
      </c>
      <c r="E105" s="1110" t="e">
        <f>0.8656/E101</f>
        <v>#DIV/0!</v>
      </c>
      <c r="F105" s="1110" t="e">
        <f>0.8656/F101</f>
        <v>#DIV/0!</v>
      </c>
      <c r="G105" s="1110" t="e">
        <f>0.8656/G101</f>
        <v>#DIV/0!</v>
      </c>
      <c r="H105" s="1110" t="e">
        <f>0.8656/H101</f>
        <v>#DIV/0!</v>
      </c>
      <c r="I105" s="1110" t="e">
        <f>0.8656/I101</f>
        <v>#DIV/0!</v>
      </c>
      <c r="J105" s="1110" t="e">
        <f>0.7525/J101</f>
        <v>#DIV/0!</v>
      </c>
      <c r="K105" s="1110" t="e">
        <f>0.7525/K101</f>
        <v>#DIV/0!</v>
      </c>
      <c r="L105" s="1110" t="e">
        <f>0.7525/L101</f>
        <v>#DIV/0!</v>
      </c>
      <c r="M105" s="1110" t="e">
        <f>0.7525/M101</f>
        <v>#DIV/0!</v>
      </c>
      <c r="N105" s="1110" t="e">
        <f>0.7525/N101</f>
        <v>#DIV/0!</v>
      </c>
    </row>
    <row r="106" spans="1:14">
      <c r="A106" s="3563"/>
      <c r="B106" s="1109">
        <v>5</v>
      </c>
      <c r="C106" s="1110" t="e">
        <f>0.8417/C101</f>
        <v>#DIV/0!</v>
      </c>
      <c r="D106" s="1110" t="e">
        <f>0.8417/D101</f>
        <v>#DIV/0!</v>
      </c>
      <c r="E106" s="1110" t="e">
        <f>0.7371/E101</f>
        <v>#DIV/0!</v>
      </c>
      <c r="F106" s="1110" t="e">
        <f>0.7371/F101</f>
        <v>#DIV/0!</v>
      </c>
      <c r="G106" s="1110" t="e">
        <f>0.7371/G101</f>
        <v>#DIV/0!</v>
      </c>
      <c r="H106" s="1110" t="e">
        <f>0.7371/H101</f>
        <v>#DIV/0!</v>
      </c>
      <c r="I106" s="1110" t="e">
        <f>0.7371/I101</f>
        <v>#DIV/0!</v>
      </c>
      <c r="J106" s="1110" t="e">
        <f>0.5659/J101</f>
        <v>#DIV/0!</v>
      </c>
      <c r="K106" s="1110" t="e">
        <f>0.5659/K101</f>
        <v>#DIV/0!</v>
      </c>
      <c r="L106" s="1110" t="e">
        <f>0.5659/L101</f>
        <v>#DIV/0!</v>
      </c>
      <c r="M106" s="1110" t="e">
        <f>0.5659/M101</f>
        <v>#DIV/0!</v>
      </c>
      <c r="N106" s="1110" t="e">
        <f>0.5659/N101</f>
        <v>#DIV/0!</v>
      </c>
    </row>
    <row r="107" spans="1:14">
      <c r="A107" s="3563"/>
      <c r="B107" s="1109">
        <v>6</v>
      </c>
      <c r="C107" s="1110" t="e">
        <f>0.7608/C101</f>
        <v>#DIV/0!</v>
      </c>
      <c r="D107" s="1110" t="e">
        <f>0.7608/D101</f>
        <v>#DIV/0!</v>
      </c>
      <c r="E107" s="1110" t="e">
        <f>0.6482/E101</f>
        <v>#DIV/0!</v>
      </c>
      <c r="F107" s="1110" t="e">
        <f>0.6482/F101</f>
        <v>#DIV/0!</v>
      </c>
      <c r="G107" s="1110" t="e">
        <f>0.6482/G101</f>
        <v>#DIV/0!</v>
      </c>
      <c r="H107" s="1110" t="e">
        <f>0.6482/H101</f>
        <v>#DIV/0!</v>
      </c>
      <c r="I107" s="1110" t="e">
        <f>0.6482/I101</f>
        <v>#DIV/0!</v>
      </c>
      <c r="J107" s="1110" t="e">
        <f>0.4525/J101</f>
        <v>#DIV/0!</v>
      </c>
      <c r="K107" s="1110" t="e">
        <f>0.4525/K101</f>
        <v>#DIV/0!</v>
      </c>
      <c r="L107" s="1110" t="e">
        <f>0.4525/L101</f>
        <v>#DIV/0!</v>
      </c>
      <c r="M107" s="1110" t="e">
        <f>0.4525/M101</f>
        <v>#DIV/0!</v>
      </c>
      <c r="N107" s="1110" t="e">
        <f>0.4525/N101</f>
        <v>#DIV/0!</v>
      </c>
    </row>
    <row r="108" spans="1:14">
      <c r="A108" s="3563"/>
      <c r="B108" s="3565"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564"/>
      <c r="B109" s="3566"/>
      <c r="C109" s="1112" t="e">
        <f>(-0.163*(C108^2)-0.59*C108+7617)*(10^(-4))/C101</f>
        <v>#DIV/0!</v>
      </c>
      <c r="D109" s="1112" t="e">
        <f>(-0.163*(D108^2)-0.59*D108+7617)*(10^(-4))/D101</f>
        <v>#DIV/0!</v>
      </c>
      <c r="E109" s="1112" t="e">
        <f>(-0.161*(E108^2)-7.509*E108+6533)*(10^(-4))/E101</f>
        <v>#DIV/0!</v>
      </c>
      <c r="F109" s="1112" t="e">
        <f>(-0.161*(F108^2)-7.509*F108+6533)*(10^(-4))/F101</f>
        <v>#DIV/0!</v>
      </c>
      <c r="G109" s="1112" t="e">
        <f>(-0.161*(G108^2)-7.509*G108+6533)*(10^(-4))/G101</f>
        <v>#DIV/0!</v>
      </c>
      <c r="H109" s="1112" t="e">
        <f>(-0.161*(H108^2)-7.509*H108+6533)*(10^(-4))/H101</f>
        <v>#DIV/0!</v>
      </c>
      <c r="I109" s="1112" t="e">
        <f>(-0.161*(I108^2)-7.509*I108+6533)*(10^(-4))/I101</f>
        <v>#DIV/0!</v>
      </c>
      <c r="J109" s="1112" t="e">
        <f>(-0.214*(J108^2)-21.991*J108+4665)*(10^(-4))/J101</f>
        <v>#DIV/0!</v>
      </c>
      <c r="K109" s="1112" t="e">
        <f>(-0.214*(K108^2)-21.991*K108+4665)*(10^(-4))/K101</f>
        <v>#DIV/0!</v>
      </c>
      <c r="L109" s="1112" t="e">
        <f>(-0.214*(L108^2)-21.991*L108+4665)*(10^(-4))/L101</f>
        <v>#DIV/0!</v>
      </c>
      <c r="M109" s="1112" t="e">
        <f>(-0.214*(M108^2)-21.991*M108+4665)*(10^(-4))/M101</f>
        <v>#DIV/0!</v>
      </c>
      <c r="N109" s="1112" t="e">
        <f>(-0.214*(N108^2)-21.991*N108+4665)*(10^(-4))/N101</f>
        <v>#DIV/0!</v>
      </c>
    </row>
    <row r="110" spans="1:14">
      <c r="A110" s="3572" t="s">
        <v>1619</v>
      </c>
      <c r="B110" s="3572"/>
      <c r="C110" s="3572"/>
      <c r="D110" s="3572"/>
      <c r="E110" s="3572"/>
      <c r="F110" s="3572"/>
      <c r="G110" s="3572"/>
      <c r="H110" s="3572"/>
      <c r="I110" s="3572"/>
      <c r="J110" s="3572"/>
      <c r="K110" s="2277"/>
      <c r="L110" s="2277"/>
      <c r="M110" s="2277"/>
      <c r="N110" s="2277"/>
    </row>
    <row r="112" spans="1:14" ht="12.75" thickBot="1"/>
    <row r="113" spans="1:13" ht="25.5" thickBot="1">
      <c r="A113" s="986" t="s">
        <v>876</v>
      </c>
      <c r="B113" s="2280">
        <f>G3</f>
        <v>0</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881</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882</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883</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813" t="s">
        <v>2927</v>
      </c>
      <c r="B15" s="2759">
        <f>SUM(B6:B13)</f>
        <v>375</v>
      </c>
      <c r="C15" s="2759">
        <f t="shared" ref="C15:H15" si="0">SUM(C6:C13)</f>
        <v>375</v>
      </c>
      <c r="D15" s="2759">
        <f t="shared" si="0"/>
        <v>300</v>
      </c>
      <c r="E15" s="2759">
        <f t="shared" si="0"/>
        <v>300</v>
      </c>
      <c r="F15" s="2759">
        <f t="shared" si="0"/>
        <v>300</v>
      </c>
      <c r="G15" s="2759">
        <f t="shared" si="0"/>
        <v>300</v>
      </c>
      <c r="H15" s="2759">
        <f t="shared" si="0"/>
        <v>300</v>
      </c>
      <c r="I15" s="2759">
        <f>SUM(I6:I10,I13)</f>
        <v>155</v>
      </c>
      <c r="J15" s="2759">
        <f t="shared" ref="J15:M15" si="1">SUM(J6:J10,J13)</f>
        <v>155</v>
      </c>
      <c r="K15" s="2759">
        <f t="shared" si="1"/>
        <v>155</v>
      </c>
      <c r="L15" s="2759">
        <f t="shared" si="1"/>
        <v>155</v>
      </c>
      <c r="M15" s="2759">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579" t="s">
        <v>987</v>
      </c>
      <c r="B18" s="1120" t="s">
        <v>1426</v>
      </c>
      <c r="C18" s="1097" t="s">
        <v>1427</v>
      </c>
      <c r="D18" s="1098"/>
      <c r="E18" s="1120">
        <v>1</v>
      </c>
      <c r="F18" s="1099" t="s">
        <v>1428</v>
      </c>
      <c r="G18" s="1100"/>
      <c r="H18" s="1071"/>
      <c r="I18" s="1071"/>
    </row>
    <row r="19" spans="1:9" s="1505" customFormat="1" ht="19.5" customHeight="1">
      <c r="A19" s="3579"/>
      <c r="B19" s="3579" t="s">
        <v>1429</v>
      </c>
      <c r="C19" s="1097" t="s">
        <v>1430</v>
      </c>
      <c r="D19" s="1098"/>
      <c r="E19" s="1120">
        <v>0.9</v>
      </c>
      <c r="F19" s="1099" t="s">
        <v>1431</v>
      </c>
      <c r="G19" s="1100"/>
      <c r="H19" s="1071"/>
      <c r="I19" s="1071"/>
    </row>
    <row r="20" spans="1:9" s="1505" customFormat="1" ht="19.5" customHeight="1">
      <c r="A20" s="3579"/>
      <c r="B20" s="3579"/>
      <c r="C20" s="1097" t="s">
        <v>1432</v>
      </c>
      <c r="D20" s="1098"/>
      <c r="E20" s="1120">
        <v>1.1000000000000001</v>
      </c>
      <c r="F20" s="1099" t="s">
        <v>1433</v>
      </c>
      <c r="G20" s="1100"/>
      <c r="H20" s="1071"/>
      <c r="I20" s="1071"/>
    </row>
    <row r="21" spans="1:9" s="1505" customFormat="1" ht="19.5" customHeight="1">
      <c r="A21" s="3579"/>
      <c r="B21" s="3579"/>
      <c r="C21" s="1097" t="s">
        <v>1434</v>
      </c>
      <c r="D21" s="1098"/>
      <c r="E21" s="1120">
        <v>0.8</v>
      </c>
      <c r="F21" s="1099" t="s">
        <v>1435</v>
      </c>
      <c r="G21" s="1100"/>
      <c r="H21" s="1071"/>
      <c r="I21" s="1071"/>
    </row>
    <row r="22" spans="1:9" s="1505" customFormat="1" ht="19.5" customHeight="1">
      <c r="A22" s="3579"/>
      <c r="B22" s="3579"/>
      <c r="C22" s="1097" t="s">
        <v>1436</v>
      </c>
      <c r="D22" s="1098"/>
      <c r="E22" s="1120">
        <v>0.5</v>
      </c>
      <c r="F22" s="1099"/>
      <c r="G22" s="1100"/>
      <c r="H22" s="1071"/>
      <c r="I22" s="1071"/>
    </row>
    <row r="23" spans="1:9" s="1505" customFormat="1" ht="19.5" customHeight="1">
      <c r="A23" s="3579" t="s">
        <v>1009</v>
      </c>
      <c r="B23" s="1120" t="s">
        <v>1426</v>
      </c>
      <c r="C23" s="1097" t="s">
        <v>1437</v>
      </c>
      <c r="D23" s="1098"/>
      <c r="E23" s="1120">
        <v>1</v>
      </c>
      <c r="F23" s="1099" t="s">
        <v>1438</v>
      </c>
      <c r="G23" s="1100"/>
      <c r="H23" s="1071"/>
      <c r="I23" s="1071"/>
    </row>
    <row r="24" spans="1:9" s="1505" customFormat="1" ht="19.5" customHeight="1">
      <c r="A24" s="3579"/>
      <c r="B24" s="3579" t="s">
        <v>1429</v>
      </c>
      <c r="C24" s="1097" t="s">
        <v>1439</v>
      </c>
      <c r="D24" s="1098"/>
      <c r="E24" s="1120">
        <v>0.5</v>
      </c>
      <c r="F24" s="1099"/>
      <c r="G24" s="1100"/>
      <c r="H24" s="1071"/>
      <c r="I24" s="1071"/>
    </row>
    <row r="25" spans="1:9" s="1505" customFormat="1" ht="19.5" customHeight="1">
      <c r="A25" s="3579"/>
      <c r="B25" s="3579"/>
      <c r="C25" s="1097" t="s">
        <v>1440</v>
      </c>
      <c r="D25" s="1098"/>
      <c r="E25" s="1120">
        <v>1.1000000000000001</v>
      </c>
      <c r="F25" s="1099"/>
      <c r="G25" s="1100"/>
      <c r="H25" s="1071"/>
      <c r="I25" s="1071"/>
    </row>
    <row r="26" spans="1:9" s="1505" customFormat="1" ht="19.5" customHeight="1">
      <c r="A26" s="3579"/>
      <c r="B26" s="3579"/>
      <c r="C26" s="1097" t="s">
        <v>1441</v>
      </c>
      <c r="D26" s="1098"/>
      <c r="E26" s="1120">
        <v>1.1000000000000001</v>
      </c>
      <c r="F26" s="1099"/>
      <c r="G26" s="1100"/>
      <c r="H26" s="1071"/>
      <c r="I26" s="1071"/>
    </row>
    <row r="27" spans="1:9" s="1505" customFormat="1" ht="19.5" customHeight="1">
      <c r="A27" s="3579"/>
      <c r="B27" s="3579"/>
      <c r="C27" s="1097" t="s">
        <v>1442</v>
      </c>
      <c r="D27" s="1098"/>
      <c r="E27" s="1120">
        <v>0.9</v>
      </c>
      <c r="F27" s="1099" t="s">
        <v>1443</v>
      </c>
      <c r="G27" s="1100"/>
      <c r="H27" s="1071"/>
      <c r="I27" s="1071"/>
    </row>
    <row r="28" spans="1:9" s="1505" customFormat="1" ht="19.5" customHeight="1">
      <c r="A28" s="3579"/>
      <c r="B28" s="3579"/>
      <c r="C28" s="1097" t="s">
        <v>1444</v>
      </c>
      <c r="D28" s="1098"/>
      <c r="E28" s="1120">
        <v>0.9</v>
      </c>
      <c r="F28" s="1099" t="s">
        <v>1445</v>
      </c>
      <c r="G28" s="1100"/>
      <c r="H28" s="1071"/>
      <c r="I28" s="1071"/>
    </row>
    <row r="29" spans="1:9" s="1505" customFormat="1" ht="19.5" customHeight="1">
      <c r="A29" s="3579"/>
      <c r="B29" s="3579"/>
      <c r="C29" s="1097" t="s">
        <v>1446</v>
      </c>
      <c r="D29" s="1098"/>
      <c r="E29" s="1120">
        <v>0.9</v>
      </c>
      <c r="F29" s="1099" t="s">
        <v>1447</v>
      </c>
      <c r="G29" s="1100"/>
      <c r="H29" s="1071"/>
      <c r="I29" s="1071"/>
    </row>
    <row r="30" spans="1:9" s="1505" customFormat="1" ht="19.5" customHeight="1">
      <c r="A30" s="3579"/>
      <c r="B30" s="3579"/>
      <c r="C30" s="1097" t="s">
        <v>1448</v>
      </c>
      <c r="D30" s="1098"/>
      <c r="E30" s="1120">
        <v>0.9</v>
      </c>
      <c r="F30" s="1099" t="s">
        <v>1449</v>
      </c>
      <c r="G30" s="1100"/>
      <c r="H30" s="1071"/>
      <c r="I30" s="1071"/>
    </row>
    <row r="31" spans="1:9" s="1505" customFormat="1" ht="19.5" customHeight="1">
      <c r="A31" s="3579"/>
      <c r="B31" s="3579"/>
      <c r="C31" s="1097" t="s">
        <v>1450</v>
      </c>
      <c r="D31" s="1098"/>
      <c r="E31" s="1120">
        <v>0.8</v>
      </c>
      <c r="F31" s="1099" t="s">
        <v>1451</v>
      </c>
      <c r="G31" s="1100"/>
      <c r="H31" s="1071"/>
      <c r="I31" s="1071"/>
    </row>
    <row r="32" spans="1:9" s="1505" customFormat="1" ht="19.5" customHeight="1">
      <c r="A32" s="3579"/>
      <c r="B32" s="3579"/>
      <c r="C32" s="1097" t="s">
        <v>1452</v>
      </c>
      <c r="D32" s="1098"/>
      <c r="E32" s="1120">
        <v>0.8</v>
      </c>
      <c r="F32" s="1099" t="s">
        <v>1453</v>
      </c>
      <c r="G32" s="1100"/>
      <c r="H32" s="1071"/>
      <c r="I32" s="1071"/>
    </row>
    <row r="33" spans="1:9" s="1505" customFormat="1" ht="19.5" customHeight="1">
      <c r="A33" s="3579" t="s">
        <v>1454</v>
      </c>
      <c r="B33" s="1120" t="s">
        <v>1426</v>
      </c>
      <c r="C33" s="1097" t="s">
        <v>1455</v>
      </c>
      <c r="D33" s="1098"/>
      <c r="E33" s="1120">
        <v>1</v>
      </c>
      <c r="F33" s="1099" t="s">
        <v>1456</v>
      </c>
      <c r="G33" s="1100"/>
      <c r="H33" s="1071"/>
      <c r="I33" s="1071"/>
    </row>
    <row r="34" spans="1:9" s="1505" customFormat="1" ht="19.5" customHeight="1">
      <c r="A34" s="3579"/>
      <c r="B34" s="1120" t="s">
        <v>1429</v>
      </c>
      <c r="C34" s="1097" t="s">
        <v>1457</v>
      </c>
      <c r="D34" s="1098"/>
      <c r="E34" s="1120">
        <v>1.5</v>
      </c>
      <c r="F34" s="1099" t="s">
        <v>1458</v>
      </c>
      <c r="G34" s="1100"/>
      <c r="H34" s="1071"/>
      <c r="I34" s="1071"/>
    </row>
    <row r="35" spans="1:9" s="1505" customFormat="1" ht="19.5" customHeight="1">
      <c r="A35" s="3579" t="s">
        <v>1412</v>
      </c>
      <c r="B35" s="1120" t="s">
        <v>1426</v>
      </c>
      <c r="C35" s="1097" t="s">
        <v>1459</v>
      </c>
      <c r="D35" s="1098"/>
      <c r="E35" s="1120">
        <v>1</v>
      </c>
      <c r="F35" s="1099" t="s">
        <v>1460</v>
      </c>
      <c r="G35" s="1100"/>
      <c r="H35" s="1071"/>
      <c r="I35" s="1071"/>
    </row>
    <row r="36" spans="1:9" s="1505" customFormat="1" ht="19.5" customHeight="1">
      <c r="A36" s="3579"/>
      <c r="B36" s="3579" t="s">
        <v>1429</v>
      </c>
      <c r="C36" s="1097" t="s">
        <v>1461</v>
      </c>
      <c r="D36" s="1098"/>
      <c r="E36" s="1120">
        <v>1</v>
      </c>
      <c r="F36" s="1099" t="s">
        <v>1462</v>
      </c>
      <c r="G36" s="1100"/>
      <c r="H36" s="1071"/>
      <c r="I36" s="1071"/>
    </row>
    <row r="37" spans="1:9" s="1505" customFormat="1" ht="19.5" customHeight="1">
      <c r="A37" s="3579"/>
      <c r="B37" s="3579"/>
      <c r="C37" s="1097" t="s">
        <v>1463</v>
      </c>
      <c r="D37" s="1098"/>
      <c r="E37" s="1120">
        <v>1.5</v>
      </c>
      <c r="F37" s="1099" t="s">
        <v>1464</v>
      </c>
      <c r="G37" s="1100"/>
      <c r="H37" s="1071"/>
      <c r="I37" s="1071"/>
    </row>
    <row r="38" spans="1:9" s="1505" customFormat="1" ht="19.5" customHeight="1">
      <c r="A38" s="3579"/>
      <c r="B38" s="3579"/>
      <c r="C38" s="1097" t="s">
        <v>1465</v>
      </c>
      <c r="D38" s="1098"/>
      <c r="E38" s="1120">
        <v>1</v>
      </c>
      <c r="F38" s="1099" t="s">
        <v>1466</v>
      </c>
      <c r="G38" s="1100"/>
      <c r="H38" s="1071"/>
      <c r="I38" s="1071"/>
    </row>
    <row r="39" spans="1:9" s="1505" customFormat="1" ht="19.5" customHeight="1">
      <c r="A39" s="3579"/>
      <c r="B39" s="3579"/>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579" t="s">
        <v>1481</v>
      </c>
      <c r="C61" s="1034" t="s">
        <v>1482</v>
      </c>
      <c r="D61" s="1034" t="s">
        <v>1483</v>
      </c>
      <c r="E61" s="1105">
        <v>0.5</v>
      </c>
      <c r="F61" s="1120">
        <v>80</v>
      </c>
      <c r="H61" s="1071">
        <f>SUMIF(C59:C119,基准地价!C8,E59:E119)</f>
        <v>0</v>
      </c>
    </row>
    <row r="62" spans="1:8" s="1071" customFormat="1" ht="24">
      <c r="A62" s="1120">
        <v>2</v>
      </c>
      <c r="B62" s="3579"/>
      <c r="C62" s="1034" t="s">
        <v>1484</v>
      </c>
      <c r="D62" s="1034" t="s">
        <v>1485</v>
      </c>
      <c r="E62" s="1105">
        <v>0.5</v>
      </c>
      <c r="F62" s="1120">
        <v>80</v>
      </c>
    </row>
    <row r="63" spans="1:8" s="1071" customFormat="1" ht="36">
      <c r="A63" s="1120">
        <v>3</v>
      </c>
      <c r="B63" s="3579"/>
      <c r="C63" s="1034" t="s">
        <v>1486</v>
      </c>
      <c r="D63" s="1034" t="s">
        <v>1487</v>
      </c>
      <c r="E63" s="1105">
        <v>0.5</v>
      </c>
      <c r="F63" s="1120">
        <v>80</v>
      </c>
    </row>
    <row r="64" spans="1:8" s="1071" customFormat="1" ht="36">
      <c r="A64" s="1120">
        <v>4</v>
      </c>
      <c r="B64" s="3579"/>
      <c r="C64" s="1034" t="s">
        <v>1488</v>
      </c>
      <c r="D64" s="1034" t="s">
        <v>1489</v>
      </c>
      <c r="E64" s="1105">
        <v>0.4</v>
      </c>
      <c r="F64" s="1120">
        <v>60</v>
      </c>
    </row>
    <row r="65" spans="1:6" s="1071" customFormat="1" ht="36">
      <c r="A65" s="1120">
        <v>5</v>
      </c>
      <c r="B65" s="3579"/>
      <c r="C65" s="1034" t="s">
        <v>1490</v>
      </c>
      <c r="D65" s="1034" t="s">
        <v>1491</v>
      </c>
      <c r="E65" s="1105">
        <v>0.2</v>
      </c>
      <c r="F65" s="1120">
        <v>30</v>
      </c>
    </row>
    <row r="66" spans="1:6" s="1071" customFormat="1" ht="36">
      <c r="A66" s="1120">
        <v>6</v>
      </c>
      <c r="B66" s="3579"/>
      <c r="C66" s="1034" t="s">
        <v>1492</v>
      </c>
      <c r="D66" s="1034" t="s">
        <v>1493</v>
      </c>
      <c r="E66" s="1105">
        <v>0.3</v>
      </c>
      <c r="F66" s="1120">
        <v>50</v>
      </c>
    </row>
    <row r="67" spans="1:6" s="1071" customFormat="1" ht="36">
      <c r="A67" s="1120">
        <v>7</v>
      </c>
      <c r="B67" s="3579"/>
      <c r="C67" s="1034" t="s">
        <v>1494</v>
      </c>
      <c r="D67" s="1034" t="s">
        <v>1495</v>
      </c>
      <c r="E67" s="1105">
        <v>0.2</v>
      </c>
      <c r="F67" s="1120">
        <v>30</v>
      </c>
    </row>
    <row r="68" spans="1:6" s="1071" customFormat="1" ht="36">
      <c r="A68" s="1120">
        <v>8</v>
      </c>
      <c r="B68" s="3579"/>
      <c r="C68" s="1034" t="s">
        <v>1496</v>
      </c>
      <c r="D68" s="1034" t="s">
        <v>1497</v>
      </c>
      <c r="E68" s="1105">
        <v>0.2</v>
      </c>
      <c r="F68" s="1120">
        <v>30</v>
      </c>
    </row>
    <row r="69" spans="1:6" s="1071" customFormat="1" ht="36">
      <c r="A69" s="1120">
        <v>9</v>
      </c>
      <c r="B69" s="3579"/>
      <c r="C69" s="1034" t="s">
        <v>1498</v>
      </c>
      <c r="D69" s="1034" t="s">
        <v>1499</v>
      </c>
      <c r="E69" s="1105">
        <v>0.2</v>
      </c>
      <c r="F69" s="1120">
        <v>30</v>
      </c>
    </row>
    <row r="70" spans="1:6" s="1071" customFormat="1" ht="48">
      <c r="A70" s="1120">
        <v>10</v>
      </c>
      <c r="B70" s="3579"/>
      <c r="C70" s="1034" t="s">
        <v>1500</v>
      </c>
      <c r="D70" s="1034" t="s">
        <v>1501</v>
      </c>
      <c r="E70" s="1105">
        <v>0.2</v>
      </c>
      <c r="F70" s="1120">
        <v>30</v>
      </c>
    </row>
    <row r="71" spans="1:6" s="1071" customFormat="1" ht="48">
      <c r="A71" s="1120">
        <v>11</v>
      </c>
      <c r="B71" s="3579"/>
      <c r="C71" s="1034" t="s">
        <v>1502</v>
      </c>
      <c r="D71" s="1034" t="s">
        <v>1503</v>
      </c>
      <c r="E71" s="1105">
        <v>0.2</v>
      </c>
      <c r="F71" s="1120">
        <v>30</v>
      </c>
    </row>
    <row r="72" spans="1:6" s="1071" customFormat="1" ht="36">
      <c r="A72" s="1120">
        <v>12</v>
      </c>
      <c r="B72" s="3579"/>
      <c r="C72" s="1034" t="s">
        <v>1504</v>
      </c>
      <c r="D72" s="1034" t="s">
        <v>1505</v>
      </c>
      <c r="E72" s="1105">
        <v>0.5</v>
      </c>
      <c r="F72" s="1120">
        <v>80</v>
      </c>
    </row>
    <row r="73" spans="1:6" s="1071" customFormat="1" ht="24">
      <c r="A73" s="1120">
        <v>13</v>
      </c>
      <c r="B73" s="3579"/>
      <c r="C73" s="1034" t="s">
        <v>1506</v>
      </c>
      <c r="D73" s="1034" t="s">
        <v>1507</v>
      </c>
      <c r="E73" s="1105">
        <v>0.4</v>
      </c>
      <c r="F73" s="1120">
        <v>60</v>
      </c>
    </row>
    <row r="74" spans="1:6" s="1071" customFormat="1" ht="24">
      <c r="A74" s="1120">
        <v>14</v>
      </c>
      <c r="B74" s="3579"/>
      <c r="C74" s="1034" t="s">
        <v>1508</v>
      </c>
      <c r="D74" s="1034" t="s">
        <v>1509</v>
      </c>
      <c r="E74" s="1105">
        <v>0.2</v>
      </c>
      <c r="F74" s="1120">
        <v>30</v>
      </c>
    </row>
    <row r="75" spans="1:6" s="1071" customFormat="1" ht="24">
      <c r="A75" s="1120">
        <v>15</v>
      </c>
      <c r="B75" s="3579"/>
      <c r="C75" s="1034" t="s">
        <v>1510</v>
      </c>
      <c r="D75" s="1034" t="s">
        <v>1511</v>
      </c>
      <c r="E75" s="1105">
        <v>0.2</v>
      </c>
      <c r="F75" s="1120">
        <v>30</v>
      </c>
    </row>
    <row r="76" spans="1:6" s="1071" customFormat="1" ht="24">
      <c r="A76" s="1120">
        <v>16</v>
      </c>
      <c r="B76" s="3579" t="s">
        <v>1512</v>
      </c>
      <c r="C76" s="1034" t="s">
        <v>1513</v>
      </c>
      <c r="D76" s="1034" t="s">
        <v>1514</v>
      </c>
      <c r="E76" s="1105">
        <v>0.5</v>
      </c>
      <c r="F76" s="1120">
        <v>80</v>
      </c>
    </row>
    <row r="77" spans="1:6" s="1071" customFormat="1" ht="24">
      <c r="A77" s="1120">
        <v>17</v>
      </c>
      <c r="B77" s="3579"/>
      <c r="C77" s="1034" t="s">
        <v>1515</v>
      </c>
      <c r="D77" s="1034" t="s">
        <v>1516</v>
      </c>
      <c r="E77" s="1105">
        <v>0.5</v>
      </c>
      <c r="F77" s="1120">
        <v>80</v>
      </c>
    </row>
    <row r="78" spans="1:6" s="1071" customFormat="1" ht="24">
      <c r="A78" s="1120">
        <v>18</v>
      </c>
      <c r="B78" s="3579"/>
      <c r="C78" s="1034" t="s">
        <v>1517</v>
      </c>
      <c r="D78" s="1034" t="s">
        <v>1518</v>
      </c>
      <c r="E78" s="1105">
        <v>0.2</v>
      </c>
      <c r="F78" s="1120">
        <v>30</v>
      </c>
    </row>
    <row r="79" spans="1:6" s="1071" customFormat="1" ht="24">
      <c r="A79" s="1120">
        <v>19</v>
      </c>
      <c r="B79" s="3579"/>
      <c r="C79" s="1034" t="s">
        <v>1519</v>
      </c>
      <c r="D79" s="1034" t="s">
        <v>1520</v>
      </c>
      <c r="E79" s="1105">
        <v>0.5</v>
      </c>
      <c r="F79" s="1120">
        <v>80</v>
      </c>
    </row>
    <row r="80" spans="1:6" s="1071" customFormat="1" ht="36">
      <c r="A80" s="1120">
        <v>20</v>
      </c>
      <c r="B80" s="3579"/>
      <c r="C80" s="1034" t="s">
        <v>1521</v>
      </c>
      <c r="D80" s="1034" t="s">
        <v>1522</v>
      </c>
      <c r="E80" s="1105">
        <v>0.2</v>
      </c>
      <c r="F80" s="1120">
        <v>30</v>
      </c>
    </row>
    <row r="81" spans="1:6" s="1071" customFormat="1" ht="36">
      <c r="A81" s="1120">
        <v>21</v>
      </c>
      <c r="B81" s="3579"/>
      <c r="C81" s="1034" t="s">
        <v>1523</v>
      </c>
      <c r="D81" s="1034" t="s">
        <v>1524</v>
      </c>
      <c r="E81" s="1105">
        <v>0.2</v>
      </c>
      <c r="F81" s="1120">
        <v>30</v>
      </c>
    </row>
    <row r="82" spans="1:6" s="1071" customFormat="1" ht="48">
      <c r="A82" s="1120">
        <v>22</v>
      </c>
      <c r="B82" s="3579"/>
      <c r="C82" s="1034" t="s">
        <v>1525</v>
      </c>
      <c r="D82" s="1034" t="s">
        <v>1526</v>
      </c>
      <c r="E82" s="1105">
        <v>0.2</v>
      </c>
      <c r="F82" s="1120">
        <v>30</v>
      </c>
    </row>
    <row r="83" spans="1:6" s="1071" customFormat="1" ht="48">
      <c r="A83" s="1120">
        <v>23</v>
      </c>
      <c r="B83" s="3579"/>
      <c r="C83" s="1034" t="s">
        <v>1527</v>
      </c>
      <c r="D83" s="1034" t="s">
        <v>1528</v>
      </c>
      <c r="E83" s="1105">
        <v>0.2</v>
      </c>
      <c r="F83" s="1120">
        <v>30</v>
      </c>
    </row>
    <row r="84" spans="1:6" s="1071" customFormat="1" ht="36">
      <c r="A84" s="1120">
        <v>24</v>
      </c>
      <c r="B84" s="3579"/>
      <c r="C84" s="1034" t="s">
        <v>1529</v>
      </c>
      <c r="D84" s="1034" t="s">
        <v>1530</v>
      </c>
      <c r="E84" s="1105">
        <v>0.2</v>
      </c>
      <c r="F84" s="1120">
        <v>30</v>
      </c>
    </row>
    <row r="85" spans="1:6" s="1071" customFormat="1" ht="36">
      <c r="A85" s="1120">
        <v>25</v>
      </c>
      <c r="B85" s="3579"/>
      <c r="C85" s="1034" t="s">
        <v>1531</v>
      </c>
      <c r="D85" s="1034" t="s">
        <v>1532</v>
      </c>
      <c r="E85" s="1105">
        <v>0.5</v>
      </c>
      <c r="F85" s="1120">
        <v>80</v>
      </c>
    </row>
    <row r="86" spans="1:6" s="1071" customFormat="1" ht="36">
      <c r="A86" s="1120">
        <v>26</v>
      </c>
      <c r="B86" s="3579"/>
      <c r="C86" s="1034" t="s">
        <v>1533</v>
      </c>
      <c r="D86" s="1034" t="s">
        <v>1534</v>
      </c>
      <c r="E86" s="1105">
        <v>0.2</v>
      </c>
      <c r="F86" s="1120">
        <v>30</v>
      </c>
    </row>
    <row r="87" spans="1:6" s="1071" customFormat="1" ht="36">
      <c r="A87" s="1120">
        <v>27</v>
      </c>
      <c r="B87" s="3579"/>
      <c r="C87" s="1034" t="s">
        <v>1535</v>
      </c>
      <c r="D87" s="1034" t="s">
        <v>1536</v>
      </c>
      <c r="E87" s="1105">
        <v>0.2</v>
      </c>
      <c r="F87" s="1120">
        <v>30</v>
      </c>
    </row>
    <row r="88" spans="1:6" s="1071" customFormat="1" ht="36">
      <c r="A88" s="1120">
        <v>28</v>
      </c>
      <c r="B88" s="3579"/>
      <c r="C88" s="1034" t="s">
        <v>1537</v>
      </c>
      <c r="D88" s="1034" t="s">
        <v>1538</v>
      </c>
      <c r="E88" s="1105">
        <v>0.2</v>
      </c>
      <c r="F88" s="1120">
        <v>30</v>
      </c>
    </row>
    <row r="89" spans="1:6" s="1071" customFormat="1" ht="24">
      <c r="A89" s="1120">
        <v>29</v>
      </c>
      <c r="B89" s="3579"/>
      <c r="C89" s="1034" t="s">
        <v>1539</v>
      </c>
      <c r="D89" s="1034" t="s">
        <v>1540</v>
      </c>
      <c r="E89" s="1105">
        <v>0.2</v>
      </c>
      <c r="F89" s="1120">
        <v>30</v>
      </c>
    </row>
    <row r="90" spans="1:6" s="1071" customFormat="1" ht="24">
      <c r="A90" s="1120">
        <v>30</v>
      </c>
      <c r="B90" s="3579"/>
      <c r="C90" s="1034" t="s">
        <v>1541</v>
      </c>
      <c r="D90" s="1034" t="s">
        <v>1542</v>
      </c>
      <c r="E90" s="1105">
        <v>0.2</v>
      </c>
      <c r="F90" s="1120">
        <v>30</v>
      </c>
    </row>
    <row r="91" spans="1:6" s="1071" customFormat="1" ht="36">
      <c r="A91" s="1120">
        <v>31</v>
      </c>
      <c r="B91" s="3579"/>
      <c r="C91" s="1034" t="s">
        <v>1543</v>
      </c>
      <c r="D91" s="1034" t="s">
        <v>1544</v>
      </c>
      <c r="E91" s="1105">
        <v>0.2</v>
      </c>
      <c r="F91" s="1120">
        <v>30</v>
      </c>
    </row>
    <row r="92" spans="1:6" s="1071" customFormat="1" ht="24">
      <c r="A92" s="1120">
        <v>32</v>
      </c>
      <c r="B92" s="3579" t="s">
        <v>1545</v>
      </c>
      <c r="C92" s="1120" t="s">
        <v>1546</v>
      </c>
      <c r="D92" s="1034" t="s">
        <v>1547</v>
      </c>
      <c r="E92" s="1105">
        <v>0.2</v>
      </c>
      <c r="F92" s="1120">
        <v>30</v>
      </c>
    </row>
    <row r="93" spans="1:6" s="1071" customFormat="1" ht="36">
      <c r="A93" s="1120">
        <v>33</v>
      </c>
      <c r="B93" s="3579"/>
      <c r="C93" s="1120" t="s">
        <v>1548</v>
      </c>
      <c r="D93" s="1034" t="s">
        <v>1549</v>
      </c>
      <c r="E93" s="1105">
        <v>0.2</v>
      </c>
      <c r="F93" s="1120">
        <v>30</v>
      </c>
    </row>
    <row r="94" spans="1:6" s="1071" customFormat="1" ht="48">
      <c r="A94" s="1120">
        <v>34</v>
      </c>
      <c r="B94" s="3579"/>
      <c r="C94" s="1120" t="s">
        <v>1550</v>
      </c>
      <c r="D94" s="1034" t="s">
        <v>1551</v>
      </c>
      <c r="E94" s="1105">
        <v>0.2</v>
      </c>
      <c r="F94" s="1120">
        <v>30</v>
      </c>
    </row>
    <row r="95" spans="1:6" s="1071" customFormat="1" ht="36">
      <c r="A95" s="1120">
        <v>35</v>
      </c>
      <c r="B95" s="3579"/>
      <c r="C95" s="1120" t="s">
        <v>1552</v>
      </c>
      <c r="D95" s="1034" t="s">
        <v>1553</v>
      </c>
      <c r="E95" s="1105">
        <v>0.2</v>
      </c>
      <c r="F95" s="1120">
        <v>30</v>
      </c>
    </row>
    <row r="96" spans="1:6" s="1071" customFormat="1" ht="48">
      <c r="A96" s="1120">
        <v>36</v>
      </c>
      <c r="B96" s="3579"/>
      <c r="C96" s="1034" t="s">
        <v>1554</v>
      </c>
      <c r="D96" s="1034" t="s">
        <v>1555</v>
      </c>
      <c r="E96" s="1105">
        <v>0.2</v>
      </c>
      <c r="F96" s="1120">
        <v>30</v>
      </c>
    </row>
    <row r="97" spans="1:6" s="1071" customFormat="1" ht="36">
      <c r="A97" s="1120">
        <v>37</v>
      </c>
      <c r="B97" s="3579"/>
      <c r="C97" s="1120" t="s">
        <v>1556</v>
      </c>
      <c r="D97" s="1034" t="s">
        <v>1557</v>
      </c>
      <c r="E97" s="1105">
        <v>0.2</v>
      </c>
      <c r="F97" s="1120">
        <v>30</v>
      </c>
    </row>
    <row r="98" spans="1:6" s="1071" customFormat="1" ht="36">
      <c r="A98" s="1120">
        <v>38</v>
      </c>
      <c r="B98" s="3579"/>
      <c r="C98" s="1120" t="s">
        <v>1558</v>
      </c>
      <c r="D98" s="1034" t="s">
        <v>1559</v>
      </c>
      <c r="E98" s="1105">
        <v>0.2</v>
      </c>
      <c r="F98" s="1120">
        <v>30</v>
      </c>
    </row>
    <row r="99" spans="1:6" s="1071" customFormat="1" ht="36">
      <c r="A99" s="1120">
        <v>39</v>
      </c>
      <c r="B99" s="3579" t="s">
        <v>1560</v>
      </c>
      <c r="C99" s="1120" t="s">
        <v>1561</v>
      </c>
      <c r="D99" s="1034" t="s">
        <v>1562</v>
      </c>
      <c r="E99" s="1105">
        <v>0.3</v>
      </c>
      <c r="F99" s="1120">
        <v>50</v>
      </c>
    </row>
    <row r="100" spans="1:6" s="1071" customFormat="1" ht="24">
      <c r="A100" s="1120">
        <v>40</v>
      </c>
      <c r="B100" s="3579"/>
      <c r="C100" s="1120" t="s">
        <v>1563</v>
      </c>
      <c r="D100" s="1034" t="s">
        <v>1564</v>
      </c>
      <c r="E100" s="1105">
        <v>0.2</v>
      </c>
      <c r="F100" s="1120">
        <v>30</v>
      </c>
    </row>
    <row r="101" spans="1:6" s="1071" customFormat="1" ht="36">
      <c r="A101" s="1120">
        <v>41</v>
      </c>
      <c r="B101" s="3579"/>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579" t="s">
        <v>1575</v>
      </c>
      <c r="C105" s="1120" t="s">
        <v>1576</v>
      </c>
      <c r="D105" s="1034" t="s">
        <v>1577</v>
      </c>
      <c r="E105" s="1105">
        <v>0.2</v>
      </c>
      <c r="F105" s="1120">
        <v>30</v>
      </c>
    </row>
    <row r="106" spans="1:6" s="1071" customFormat="1" ht="36">
      <c r="A106" s="1120">
        <v>46</v>
      </c>
      <c r="B106" s="3579"/>
      <c r="C106" s="1120" t="s">
        <v>1578</v>
      </c>
      <c r="D106" s="1034" t="s">
        <v>1579</v>
      </c>
      <c r="E106" s="1105">
        <v>0.2</v>
      </c>
      <c r="F106" s="1120">
        <v>30</v>
      </c>
    </row>
    <row r="107" spans="1:6" s="1071" customFormat="1" ht="36">
      <c r="A107" s="1120">
        <v>47</v>
      </c>
      <c r="B107" s="3579" t="s">
        <v>1580</v>
      </c>
      <c r="C107" s="1120" t="s">
        <v>1581</v>
      </c>
      <c r="D107" s="1034" t="s">
        <v>1582</v>
      </c>
      <c r="E107" s="1105">
        <v>0.3</v>
      </c>
      <c r="F107" s="1120">
        <v>50</v>
      </c>
    </row>
    <row r="108" spans="1:6" s="1071" customFormat="1" ht="36">
      <c r="A108" s="1120">
        <v>48</v>
      </c>
      <c r="B108" s="3579"/>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579" t="s">
        <v>1591</v>
      </c>
      <c r="C111" s="1120" t="s">
        <v>1592</v>
      </c>
      <c r="D111" s="1034" t="s">
        <v>1593</v>
      </c>
      <c r="E111" s="1105">
        <v>0.2</v>
      </c>
      <c r="F111" s="1120">
        <v>30</v>
      </c>
    </row>
    <row r="112" spans="1:6" s="1071" customFormat="1" ht="24">
      <c r="A112" s="1120">
        <v>52</v>
      </c>
      <c r="B112" s="3579"/>
      <c r="C112" s="1120" t="s">
        <v>1594</v>
      </c>
      <c r="D112" s="1034" t="s">
        <v>1595</v>
      </c>
      <c r="E112" s="1105">
        <v>0.2</v>
      </c>
      <c r="F112" s="1120">
        <v>30</v>
      </c>
    </row>
    <row r="113" spans="1:14" s="1071" customFormat="1" ht="24">
      <c r="A113" s="1120">
        <v>53</v>
      </c>
      <c r="B113" s="3579"/>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579" t="s">
        <v>1604</v>
      </c>
      <c r="C116" s="1120" t="s">
        <v>1605</v>
      </c>
      <c r="D116" s="1034" t="s">
        <v>1606</v>
      </c>
      <c r="E116" s="1105">
        <v>0.2</v>
      </c>
      <c r="F116" s="1120">
        <v>30</v>
      </c>
    </row>
    <row r="117" spans="1:14" ht="36">
      <c r="A117" s="1120">
        <v>57</v>
      </c>
      <c r="B117" s="3579"/>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578" t="s">
        <v>1613</v>
      </c>
      <c r="B121" s="3578"/>
      <c r="C121" s="3578"/>
      <c r="D121" s="3578"/>
      <c r="E121" s="3578"/>
      <c r="F121" s="3578"/>
      <c r="G121" s="3578"/>
      <c r="H121" s="3578"/>
      <c r="I121" s="3578"/>
      <c r="J121" s="3578"/>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580" t="s">
        <v>1019</v>
      </c>
      <c r="B1" s="3580"/>
      <c r="C1" s="3580"/>
      <c r="D1" s="3580"/>
      <c r="E1" s="3580"/>
      <c r="F1" s="3580"/>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581" t="s">
        <v>1032</v>
      </c>
      <c r="B2" s="3581"/>
      <c r="C2" s="3581"/>
      <c r="D2" s="3581"/>
      <c r="E2" s="3581"/>
      <c r="F2" s="3581"/>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582"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583"/>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584" t="s">
        <v>2053</v>
      </c>
      <c r="B1" s="3584"/>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F9" sqref="F9:F42"/>
    </sheetView>
  </sheetViews>
  <sheetFormatPr defaultColWidth="9" defaultRowHeight="12.75"/>
  <cols>
    <col min="1" max="1" width="9" style="2854"/>
    <col min="2" max="6" width="9" style="2854" customWidth="1"/>
    <col min="7" max="7" width="9" style="2892" customWidth="1"/>
    <col min="8" max="12" width="9" style="2854" customWidth="1"/>
    <col min="13" max="13" width="2.25" style="2854" customWidth="1"/>
    <col min="14" max="14" width="9" style="2892" customWidth="1"/>
    <col min="15" max="17" width="9" style="2854" customWidth="1"/>
    <col min="18" max="18" width="2.375" style="2854" customWidth="1"/>
    <col min="19" max="19" width="7.125" style="2892" customWidth="1"/>
    <col min="20" max="22" width="7.125" style="2854" customWidth="1"/>
    <col min="23" max="23" width="24" style="2854" customWidth="1"/>
    <col min="24" max="25" width="9" style="2854"/>
    <col min="26" max="27" width="11.625" style="2854" customWidth="1"/>
    <col min="28" max="28" width="9" style="2854"/>
    <col min="29" max="29" width="2" style="2854" customWidth="1"/>
    <col min="30" max="16384" width="9" style="2854"/>
  </cols>
  <sheetData>
    <row r="1" spans="1:34" s="2832" customFormat="1">
      <c r="B1" s="3592" t="s">
        <v>2536</v>
      </c>
      <c r="C1" s="3592"/>
      <c r="D1" s="3592"/>
      <c r="E1" s="3592"/>
      <c r="F1" s="3592"/>
      <c r="G1" s="3591" t="s">
        <v>2537</v>
      </c>
      <c r="H1" s="3591"/>
      <c r="I1" s="3591"/>
      <c r="J1" s="3591"/>
      <c r="K1" s="3591"/>
      <c r="L1" s="3591"/>
      <c r="N1" s="3591" t="s">
        <v>2538</v>
      </c>
      <c r="O1" s="3591"/>
      <c r="P1" s="3591"/>
      <c r="Q1" s="3591"/>
      <c r="S1" s="3591" t="s">
        <v>2539</v>
      </c>
      <c r="T1" s="3591"/>
      <c r="U1" s="3591"/>
      <c r="V1" s="3591"/>
      <c r="X1" s="3590" t="s">
        <v>2599</v>
      </c>
      <c r="Y1" s="3591"/>
      <c r="Z1" s="3591"/>
      <c r="AA1" s="3591"/>
      <c r="AB1" s="3591"/>
      <c r="AD1" s="3590" t="s">
        <v>2603</v>
      </c>
      <c r="AE1" s="3591"/>
      <c r="AF1" s="3591"/>
      <c r="AG1" s="3591"/>
      <c r="AH1" s="3591"/>
    </row>
    <row r="2" spans="1:34" s="2833" customFormat="1" ht="14.25" thickBot="1">
      <c r="B2" s="2834" t="s">
        <v>2540</v>
      </c>
      <c r="C2" s="2834" t="s">
        <v>2601</v>
      </c>
      <c r="D2" s="2835" t="s">
        <v>1624</v>
      </c>
      <c r="E2" s="2835" t="s">
        <v>1923</v>
      </c>
      <c r="F2" s="2834" t="s">
        <v>2602</v>
      </c>
      <c r="G2" s="2836"/>
      <c r="I2" s="2834" t="s">
        <v>2898</v>
      </c>
      <c r="J2" s="2835" t="s">
        <v>2900</v>
      </c>
      <c r="K2" s="2835" t="s">
        <v>2901</v>
      </c>
      <c r="L2" s="2834" t="s">
        <v>2902</v>
      </c>
      <c r="N2" s="2834" t="s">
        <v>2540</v>
      </c>
      <c r="O2" s="2835" t="s">
        <v>2899</v>
      </c>
      <c r="P2" s="2835" t="s">
        <v>1923</v>
      </c>
      <c r="Q2" s="2834" t="s">
        <v>2602</v>
      </c>
      <c r="S2" s="2834" t="s">
        <v>2540</v>
      </c>
      <c r="T2" s="2835" t="s">
        <v>2899</v>
      </c>
      <c r="U2" s="2835" t="s">
        <v>1923</v>
      </c>
      <c r="V2" s="2834" t="s">
        <v>2602</v>
      </c>
      <c r="X2" s="2834" t="s">
        <v>2540</v>
      </c>
      <c r="Y2" s="2834" t="s">
        <v>2601</v>
      </c>
      <c r="Z2" s="2835" t="s">
        <v>1624</v>
      </c>
      <c r="AA2" s="2835" t="s">
        <v>1923</v>
      </c>
      <c r="AB2" s="2834" t="s">
        <v>2602</v>
      </c>
      <c r="AD2" s="2834" t="s">
        <v>2540</v>
      </c>
      <c r="AE2" s="2834" t="s">
        <v>2601</v>
      </c>
      <c r="AF2" s="2835" t="s">
        <v>1624</v>
      </c>
      <c r="AG2" s="2835" t="s">
        <v>1923</v>
      </c>
      <c r="AH2" s="2834" t="s">
        <v>2602</v>
      </c>
    </row>
    <row r="3" spans="1:34" s="2843" customFormat="1" ht="14.25">
      <c r="A3" s="2837" t="s">
        <v>2909</v>
      </c>
      <c r="B3" s="2838"/>
      <c r="C3" s="2838"/>
      <c r="D3" s="2839"/>
      <c r="E3" s="2839"/>
      <c r="F3" s="2838"/>
      <c r="G3" s="2840"/>
      <c r="H3" s="2841"/>
      <c r="I3" s="2842">
        <f>ROUND(AVERAGE($I4:$I36),2)</f>
        <v>1.66</v>
      </c>
      <c r="J3" s="2842">
        <f>ROUND(AVERAGE($J4:$J36),2)</f>
        <v>1.05</v>
      </c>
      <c r="K3" s="2842">
        <f>ROUND(AVERAGE($K4:$K36),2)</f>
        <v>1.83</v>
      </c>
      <c r="L3" s="2842">
        <f>ROUND(AVERAGE($L4:$L36),2)</f>
        <v>1.22</v>
      </c>
      <c r="N3" s="2840"/>
      <c r="S3" s="2840"/>
      <c r="W3" s="2844"/>
      <c r="X3" s="2845">
        <f>ROUND(SUMPRODUCT(PRODUCT(1+N3:N$35)),4)</f>
        <v>1.6415999999999999</v>
      </c>
      <c r="Y3" s="2845">
        <f>ROUND(SUMPRODUCT(PRODUCT(1+O3:O$35)),4)</f>
        <v>1.3644000000000001</v>
      </c>
      <c r="Z3" s="2845">
        <f t="shared" ref="Z3:Z33" si="0">Y3</f>
        <v>1.3644000000000001</v>
      </c>
      <c r="AA3" s="2845">
        <f>ROUND(SUMPRODUCT(PRODUCT(1+P3:P$35)),4)</f>
        <v>1.7232000000000001</v>
      </c>
      <c r="AB3" s="2845">
        <f>ROUND(SUMPRODUCT(PRODUCT(1+Q3:Q$35)),4)</f>
        <v>1.4529000000000001</v>
      </c>
      <c r="AD3" s="2846">
        <f>ROUND(AVERAGE(I3:I$36)/100,4)</f>
        <v>1.66E-2</v>
      </c>
      <c r="AE3" s="2846">
        <f>ROUND(AVERAGE(J3:J$36)/100,4)</f>
        <v>1.0500000000000001E-2</v>
      </c>
      <c r="AF3" s="2846">
        <f t="shared" ref="AF3:AF34" si="1">AE3</f>
        <v>1.0500000000000001E-2</v>
      </c>
      <c r="AG3" s="2846">
        <f>ROUND(AVERAGE(K3:K$36)/100,4)</f>
        <v>1.83E-2</v>
      </c>
      <c r="AH3" s="2846">
        <f>ROUND(AVERAGE(L3:L$36)/100,4)</f>
        <v>1.2200000000000001E-2</v>
      </c>
    </row>
    <row r="4" spans="1:34" s="2847" customFormat="1" ht="14.25">
      <c r="B4" s="2848"/>
      <c r="C4" s="2848"/>
      <c r="D4" s="2849"/>
      <c r="E4" s="2849"/>
      <c r="F4" s="2848"/>
      <c r="G4" s="2850"/>
      <c r="H4" s="2851"/>
      <c r="I4" s="2852"/>
      <c r="J4" s="2852"/>
      <c r="K4" s="2852"/>
      <c r="L4" s="2852"/>
      <c r="N4" s="2850"/>
      <c r="S4" s="2850"/>
      <c r="W4" s="2853"/>
      <c r="X4" s="2854"/>
      <c r="Y4" s="2854"/>
      <c r="Z4" s="2854"/>
      <c r="AA4" s="2854"/>
      <c r="AB4" s="2854"/>
      <c r="AD4" s="2855"/>
      <c r="AE4" s="2855"/>
      <c r="AF4" s="2855"/>
      <c r="AG4" s="2855"/>
      <c r="AH4" s="2855"/>
    </row>
    <row r="5" spans="1:34" s="2860" customFormat="1">
      <c r="A5" s="2856" t="s">
        <v>2981</v>
      </c>
      <c r="B5" s="2857">
        <f t="shared" ref="B5" si="2">B6*(1+N5)</f>
        <v>504.87072809615569</v>
      </c>
      <c r="C5" s="2857">
        <f t="shared" ref="C5" si="3">C6*(1+O5)</f>
        <v>351.71182348101968</v>
      </c>
      <c r="D5" s="2857">
        <f t="shared" ref="D5" si="4">C5</f>
        <v>351.71182348101968</v>
      </c>
      <c r="E5" s="2857">
        <f t="shared" ref="E5" si="5">E6*(1+P5)</f>
        <v>728.75350858360832</v>
      </c>
      <c r="F5" s="2857">
        <f t="shared" ref="F5" si="6">F6*(1+Q5)</f>
        <v>334.04593931673656</v>
      </c>
      <c r="G5" s="2850">
        <v>2021</v>
      </c>
      <c r="H5" s="2858">
        <v>4</v>
      </c>
      <c r="I5" s="2859">
        <v>0</v>
      </c>
      <c r="J5" s="2859">
        <v>0</v>
      </c>
      <c r="K5" s="2859">
        <v>0</v>
      </c>
      <c r="L5" s="2859">
        <v>0</v>
      </c>
      <c r="N5" s="2861">
        <f t="shared" ref="N5" si="7">I5/100</f>
        <v>0</v>
      </c>
      <c r="O5" s="2861">
        <f t="shared" ref="O5" si="8">J5/100</f>
        <v>0</v>
      </c>
      <c r="P5" s="2861">
        <f t="shared" ref="P5" si="9">K5/100</f>
        <v>0</v>
      </c>
      <c r="Q5" s="2861">
        <f t="shared" ref="Q5" si="10">L5/100</f>
        <v>0</v>
      </c>
      <c r="S5" s="2862">
        <f>B5/B6-1</f>
        <v>0</v>
      </c>
      <c r="T5" s="2860">
        <f>C5/C6-1</f>
        <v>0</v>
      </c>
      <c r="U5" s="2860">
        <f>E5/E6-1</f>
        <v>0</v>
      </c>
      <c r="V5" s="2860">
        <f>F5/F6-1</f>
        <v>0</v>
      </c>
      <c r="W5" s="2863" t="s">
        <v>2910</v>
      </c>
      <c r="X5" s="2864">
        <f>ROUND(IF(项目基本情况!B2="出让",SUMPRODUCT(PRODUCT(1+N5:N$36)),SUMPRODUCT(PRODUCT(1+N5:N$35))),4)</f>
        <v>1.6415999999999999</v>
      </c>
      <c r="Y5" s="2864">
        <f>ROUND(IF(项目基本情况!B2="出让",SUMPRODUCT(PRODUCT(1+O5:O$36)),SUMPRODUCT(PRODUCT(1+O5:O$35))),4)</f>
        <v>1.3644000000000001</v>
      </c>
      <c r="Z5" s="2864">
        <f t="shared" ref="Z5" si="11">Y5</f>
        <v>1.3644000000000001</v>
      </c>
      <c r="AA5" s="2864">
        <f>ROUND(IF(项目基本情况!B2="出让",SUMPRODUCT(PRODUCT(1+P5:P$36)),SUMPRODUCT(PRODUCT(1+P5:P$35))),4)</f>
        <v>1.7232000000000001</v>
      </c>
      <c r="AB5" s="2864">
        <f>ROUND(IF(项目基本情况!B2="出让",SUMPRODUCT(PRODUCT(1+Q5:Q$36)),SUMPRODUCT(PRODUCT(1+Q5:Q$35))),4)</f>
        <v>1.4529000000000001</v>
      </c>
      <c r="AD5" s="2865">
        <f>ROUND(AVERAGE(I5:I$36)/100,4)</f>
        <v>1.66E-2</v>
      </c>
      <c r="AE5" s="2865">
        <f>ROUND(AVERAGE(J5:J$36)/100,4)</f>
        <v>1.0500000000000001E-2</v>
      </c>
      <c r="AF5" s="2865">
        <f t="shared" ref="AF5" si="12">AE5</f>
        <v>1.0500000000000001E-2</v>
      </c>
      <c r="AG5" s="2865">
        <f>ROUND(AVERAGE(K5:K$36)/100,4)</f>
        <v>1.83E-2</v>
      </c>
      <c r="AH5" s="2865">
        <f>ROUND(AVERAGE(L5:L$36)/100,4)</f>
        <v>1.2200000000000001E-2</v>
      </c>
    </row>
    <row r="6" spans="1:34" s="2873" customFormat="1">
      <c r="A6" s="2866" t="s">
        <v>2980</v>
      </c>
      <c r="B6" s="2867">
        <f t="shared" ref="B6" si="13">B7*(1+N6)</f>
        <v>504.87072809615569</v>
      </c>
      <c r="C6" s="2867">
        <f t="shared" ref="C6" si="14">C7*(1+O6)</f>
        <v>351.71182348101968</v>
      </c>
      <c r="D6" s="2867">
        <f t="shared" ref="D6" si="15">C6</f>
        <v>351.71182348101968</v>
      </c>
      <c r="E6" s="2867">
        <f t="shared" ref="E6" si="16">E7*(1+P6)</f>
        <v>728.75350858360832</v>
      </c>
      <c r="F6" s="2867">
        <f t="shared" ref="F6" si="17">F7*(1+Q6)</f>
        <v>334.04593931673656</v>
      </c>
      <c r="G6" s="2850">
        <v>2021</v>
      </c>
      <c r="H6" s="2868">
        <v>3</v>
      </c>
      <c r="I6" s="2830">
        <v>0.47</v>
      </c>
      <c r="J6" s="2830">
        <v>0.41</v>
      </c>
      <c r="K6" s="2830">
        <v>0.48</v>
      </c>
      <c r="L6" s="2831">
        <v>0.48</v>
      </c>
      <c r="M6" s="2854"/>
      <c r="N6" s="2869">
        <f t="shared" ref="N6" si="18">I6/100</f>
        <v>4.6999999999999993E-3</v>
      </c>
      <c r="O6" s="2855">
        <f t="shared" ref="O6" si="19">J6/100</f>
        <v>4.0999999999999995E-3</v>
      </c>
      <c r="P6" s="2855">
        <f t="shared" ref="P6" si="20">K6/100</f>
        <v>4.7999999999999996E-3</v>
      </c>
      <c r="Q6" s="2855">
        <f t="shared" ref="Q6" si="21">L6/100</f>
        <v>4.7999999999999996E-3</v>
      </c>
      <c r="R6" s="2870"/>
      <c r="S6" s="2871"/>
      <c r="T6" s="2872"/>
      <c r="U6" s="2872"/>
      <c r="V6" s="2872"/>
      <c r="W6" s="2854"/>
      <c r="X6" s="2854">
        <f>ROUND(IF(项目基本情况!B3="出让",SUMPRODUCT(PRODUCT(1+N6:N$36)),SUMPRODUCT(PRODUCT(1+N6:N$35))),4)</f>
        <v>1.6415999999999999</v>
      </c>
      <c r="Y6" s="2854">
        <f>ROUND(IF(项目基本情况!B3="出让",SUMPRODUCT(PRODUCT(1+O6:O$36)),SUMPRODUCT(PRODUCT(1+O6:O$35))),4)</f>
        <v>1.3644000000000001</v>
      </c>
      <c r="Z6" s="2854">
        <f t="shared" ref="Z6" si="22">Y6</f>
        <v>1.3644000000000001</v>
      </c>
      <c r="AA6" s="2854">
        <f>ROUND(IF(项目基本情况!B3="出让",SUMPRODUCT(PRODUCT(1+P6:P$36)),SUMPRODUCT(PRODUCT(1+P6:P$35))),4)</f>
        <v>1.7232000000000001</v>
      </c>
      <c r="AB6" s="2854">
        <f>ROUND(IF(项目基本情况!B3="出让",SUMPRODUCT(PRODUCT(1+Q6:Q$36)),SUMPRODUCT(PRODUCT(1+Q6:Q$35))),4)</f>
        <v>1.4529000000000001</v>
      </c>
      <c r="AC6" s="2854"/>
      <c r="AD6" s="2855">
        <f>ROUND(AVERAGE(I6:I$36)/100,4)</f>
        <v>1.72E-2</v>
      </c>
      <c r="AE6" s="2855">
        <f>ROUND(AVERAGE(J6:J$36)/100,4)</f>
        <v>1.09E-2</v>
      </c>
      <c r="AF6" s="2855">
        <f t="shared" ref="AF6" si="23">AE6</f>
        <v>1.09E-2</v>
      </c>
      <c r="AG6" s="2855">
        <f>ROUND(AVERAGE(K6:K$36)/100,4)</f>
        <v>1.89E-2</v>
      </c>
      <c r="AH6" s="2855">
        <f>ROUND(AVERAGE(L6:L$36)/100,4)</f>
        <v>1.26E-2</v>
      </c>
    </row>
    <row r="7" spans="1:34" s="2873" customFormat="1">
      <c r="A7" s="2866" t="s">
        <v>2979</v>
      </c>
      <c r="B7" s="2867">
        <f t="shared" ref="B7" si="24">B8*(1+N7)</f>
        <v>502.50893609650217</v>
      </c>
      <c r="C7" s="2867">
        <f t="shared" ref="C7" si="25">C8*(1+O7)</f>
        <v>350.27569313914915</v>
      </c>
      <c r="D7" s="2867">
        <f t="shared" ref="D7" si="26">C7</f>
        <v>350.27569313914915</v>
      </c>
      <c r="E7" s="2867">
        <f t="shared" ref="E7" si="27">E8*(1+P7)</f>
        <v>725.27220201394141</v>
      </c>
      <c r="F7" s="2867">
        <f t="shared" ref="F7" si="28">F8*(1+Q7)</f>
        <v>332.45017846012797</v>
      </c>
      <c r="G7" s="2850">
        <v>2021</v>
      </c>
      <c r="H7" s="2868">
        <v>2</v>
      </c>
      <c r="I7" s="2830">
        <v>0.92</v>
      </c>
      <c r="J7" s="2830">
        <v>0.72</v>
      </c>
      <c r="K7" s="2830">
        <v>0.95</v>
      </c>
      <c r="L7" s="2831">
        <v>1.01</v>
      </c>
      <c r="M7" s="2854"/>
      <c r="N7" s="2869">
        <f t="shared" ref="N7" si="29">I7/100</f>
        <v>9.1999999999999998E-3</v>
      </c>
      <c r="O7" s="2855">
        <f t="shared" ref="O7" si="30">J7/100</f>
        <v>7.1999999999999998E-3</v>
      </c>
      <c r="P7" s="2855">
        <f t="shared" ref="P7" si="31">K7/100</f>
        <v>9.4999999999999998E-3</v>
      </c>
      <c r="Q7" s="2855">
        <f t="shared" ref="Q7" si="32">L7/100</f>
        <v>1.01E-2</v>
      </c>
      <c r="R7" s="2870"/>
      <c r="S7" s="2871"/>
      <c r="T7" s="2872"/>
      <c r="U7" s="2872"/>
      <c r="V7" s="2872"/>
      <c r="W7" s="2854"/>
      <c r="X7" s="2854">
        <f>ROUND(IF(项目基本情况!B4="出让",SUMPRODUCT(PRODUCT(1+N7:N$36)),SUMPRODUCT(PRODUCT(1+N7:N$35))),4)</f>
        <v>1.6338999999999999</v>
      </c>
      <c r="Y7" s="2854">
        <f>ROUND(IF(项目基本情况!B4="出让",SUMPRODUCT(PRODUCT(1+O7:O$36)),SUMPRODUCT(PRODUCT(1+O7:O$35))),4)</f>
        <v>1.3588</v>
      </c>
      <c r="Z7" s="2854">
        <f t="shared" ref="Z7" si="33">Y7</f>
        <v>1.3588</v>
      </c>
      <c r="AA7" s="2854">
        <f>ROUND(IF(项目基本情况!B4="出让",SUMPRODUCT(PRODUCT(1+P7:P$36)),SUMPRODUCT(PRODUCT(1+P7:P$35))),4)</f>
        <v>1.7150000000000001</v>
      </c>
      <c r="AB7" s="2854">
        <f>ROUND(IF(项目基本情况!B4="出让",SUMPRODUCT(PRODUCT(1+Q7:Q$36)),SUMPRODUCT(PRODUCT(1+Q7:Q$35))),4)</f>
        <v>1.446</v>
      </c>
      <c r="AC7" s="2854"/>
      <c r="AD7" s="2855">
        <f>ROUND(AVERAGE(I7:I$36)/100,4)</f>
        <v>1.7600000000000001E-2</v>
      </c>
      <c r="AE7" s="2855">
        <f>ROUND(AVERAGE(J7:J$36)/100,4)</f>
        <v>1.11E-2</v>
      </c>
      <c r="AF7" s="2855">
        <f t="shared" ref="AF7" si="34">AE7</f>
        <v>1.11E-2</v>
      </c>
      <c r="AG7" s="2855">
        <f>ROUND(AVERAGE(K7:K$36)/100,4)</f>
        <v>1.9400000000000001E-2</v>
      </c>
      <c r="AH7" s="2855">
        <f>ROUND(AVERAGE(L7:L$36)/100,4)</f>
        <v>1.2800000000000001E-2</v>
      </c>
    </row>
    <row r="8" spans="1:34" s="2873" customFormat="1">
      <c r="A8" s="2866" t="s">
        <v>2978</v>
      </c>
      <c r="B8" s="2867">
        <f t="shared" ref="B8" si="35">B9*(1+N8)</f>
        <v>497.92799851020823</v>
      </c>
      <c r="C8" s="2867">
        <f t="shared" ref="C8" si="36">C9*(1+O8)</f>
        <v>347.77173663537445</v>
      </c>
      <c r="D8" s="2867">
        <f t="shared" ref="D8" si="37">C8</f>
        <v>347.77173663537445</v>
      </c>
      <c r="E8" s="2867">
        <f t="shared" ref="E8" si="38">E9*(1+P8)</f>
        <v>718.44695593258189</v>
      </c>
      <c r="F8" s="2867">
        <f t="shared" ref="F8" si="39">F9*(1+Q8)</f>
        <v>329.12600580153247</v>
      </c>
      <c r="G8" s="2850">
        <v>2021</v>
      </c>
      <c r="H8" s="2868">
        <v>1</v>
      </c>
      <c r="I8" s="2830">
        <v>0.97</v>
      </c>
      <c r="J8" s="2830">
        <v>0.16</v>
      </c>
      <c r="K8" s="2830">
        <v>1.1100000000000001</v>
      </c>
      <c r="L8" s="2831">
        <v>0.36</v>
      </c>
      <c r="M8" s="2854"/>
      <c r="N8" s="2869">
        <f t="shared" ref="N8" si="40">I8/100</f>
        <v>9.7000000000000003E-3</v>
      </c>
      <c r="O8" s="2855">
        <f t="shared" ref="O8" si="41">J8/100</f>
        <v>1.6000000000000001E-3</v>
      </c>
      <c r="P8" s="2855">
        <f t="shared" ref="P8" si="42">K8/100</f>
        <v>1.11E-2</v>
      </c>
      <c r="Q8" s="2855">
        <f t="shared" ref="Q8" si="43">L8/100</f>
        <v>3.5999999999999999E-3</v>
      </c>
      <c r="R8" s="2870"/>
      <c r="S8" s="2871">
        <f>B8/B9-1</f>
        <v>9.7000000000000419E-3</v>
      </c>
      <c r="T8" s="2872">
        <f>C8/C9-1</f>
        <v>1.6000000000000458E-3</v>
      </c>
      <c r="U8" s="2872">
        <f>E8/E9-1</f>
        <v>1.110000000000011E-2</v>
      </c>
      <c r="V8" s="2872">
        <f>F8/F9-1</f>
        <v>3.6000000000000476E-3</v>
      </c>
      <c r="W8" s="2854"/>
      <c r="X8" s="2854">
        <f>ROUND(IF(项目基本情况!B5="出让",SUMPRODUCT(PRODUCT(1+N8:N$36)),SUMPRODUCT(PRODUCT(1+N8:N$35))),4)</f>
        <v>1.619</v>
      </c>
      <c r="Y8" s="2854">
        <f>ROUND(IF(项目基本情况!B5="出让",SUMPRODUCT(PRODUCT(1+O8:O$36)),SUMPRODUCT(PRODUCT(1+O8:O$35))),4)</f>
        <v>1.3491</v>
      </c>
      <c r="Z8" s="2854">
        <f t="shared" ref="Z8" si="44">Y8</f>
        <v>1.3491</v>
      </c>
      <c r="AA8" s="2854">
        <f>ROUND(IF(项目基本情况!B5="出让",SUMPRODUCT(PRODUCT(1+P8:P$36)),SUMPRODUCT(PRODUCT(1+P8:P$35))),4)</f>
        <v>1.6988000000000001</v>
      </c>
      <c r="AB8" s="2854">
        <f>ROUND(IF(项目基本情况!B5="出让",SUMPRODUCT(PRODUCT(1+Q8:Q$36)),SUMPRODUCT(PRODUCT(1+Q8:Q$35))),4)</f>
        <v>1.4315</v>
      </c>
      <c r="AC8" s="2854"/>
      <c r="AD8" s="2855">
        <f>ROUND(AVERAGE(I8:I$36)/100,4)</f>
        <v>1.7899999999999999E-2</v>
      </c>
      <c r="AE8" s="2855">
        <f>ROUND(AVERAGE(J8:J$36)/100,4)</f>
        <v>1.12E-2</v>
      </c>
      <c r="AF8" s="2855">
        <f t="shared" ref="AF8" si="45">AE8</f>
        <v>1.12E-2</v>
      </c>
      <c r="AG8" s="2855">
        <f>ROUND(AVERAGE(K8:K$36)/100,4)</f>
        <v>1.9699999999999999E-2</v>
      </c>
      <c r="AH8" s="2855">
        <f>ROUND(AVERAGE(L8:L$36)/100,4)</f>
        <v>1.29E-2</v>
      </c>
    </row>
    <row r="9" spans="1:34" s="2873" customFormat="1">
      <c r="A9" s="2866" t="s">
        <v>2976</v>
      </c>
      <c r="B9" s="2867">
        <f t="shared" ref="B9" si="46">B10*(1+N9)</f>
        <v>493.14449689037161</v>
      </c>
      <c r="C9" s="2867">
        <f t="shared" ref="C9" si="47">C10*(1+O9)</f>
        <v>347.21619073020611</v>
      </c>
      <c r="D9" s="2867">
        <f t="shared" ref="D9" si="48">C9</f>
        <v>347.21619073020611</v>
      </c>
      <c r="E9" s="2867">
        <f t="shared" ref="E9" si="49">E10*(1+P9)</f>
        <v>710.55974278763904</v>
      </c>
      <c r="F9" s="2867">
        <f t="shared" ref="F9" si="50">F10*(1+Q9)</f>
        <v>327.94540235306141</v>
      </c>
      <c r="G9" s="2850">
        <v>2020</v>
      </c>
      <c r="H9" s="2868">
        <v>4</v>
      </c>
      <c r="I9" s="2830">
        <v>2.0699999999999998</v>
      </c>
      <c r="J9" s="2830">
        <v>0.37</v>
      </c>
      <c r="K9" s="2830">
        <v>2.35</v>
      </c>
      <c r="L9" s="2831">
        <v>2.69</v>
      </c>
      <c r="M9" s="2854"/>
      <c r="N9" s="2869">
        <f t="shared" ref="N9" si="51">I9/100</f>
        <v>2.07E-2</v>
      </c>
      <c r="O9" s="2855">
        <f t="shared" ref="O9" si="52">J9/100</f>
        <v>3.7000000000000002E-3</v>
      </c>
      <c r="P9" s="2855">
        <f t="shared" ref="P9" si="53">K9/100</f>
        <v>2.35E-2</v>
      </c>
      <c r="Q9" s="2855">
        <f t="shared" ref="Q9" si="54">L9/100</f>
        <v>2.69E-2</v>
      </c>
      <c r="R9" s="2870"/>
      <c r="S9" s="2871"/>
      <c r="T9" s="2872"/>
      <c r="U9" s="2872"/>
      <c r="V9" s="2872"/>
      <c r="W9" s="2854"/>
      <c r="X9" s="2854">
        <f>ROUND(IF(项目基本情况!B6="出让",SUMPRODUCT(PRODUCT(1+N9:N$36)),SUMPRODUCT(PRODUCT(1+N9:N$35))),4)</f>
        <v>1.6034999999999999</v>
      </c>
      <c r="Y9" s="2854">
        <f>ROUND(IF(项目基本情况!B6="出让",SUMPRODUCT(PRODUCT(1+O9:O$36)),SUMPRODUCT(PRODUCT(1+O9:O$35))),4)</f>
        <v>1.3469</v>
      </c>
      <c r="Z9" s="2854">
        <f t="shared" ref="Z9" si="55">Y9</f>
        <v>1.3469</v>
      </c>
      <c r="AA9" s="2854">
        <f>ROUND(IF(项目基本情况!B6="出让",SUMPRODUCT(PRODUCT(1+P9:P$36)),SUMPRODUCT(PRODUCT(1+P9:P$35))),4)</f>
        <v>1.6801999999999999</v>
      </c>
      <c r="AB9" s="2854">
        <f>ROUND(IF(项目基本情况!B6="出让",SUMPRODUCT(PRODUCT(1+Q9:Q$36)),SUMPRODUCT(PRODUCT(1+Q9:Q$35))),4)</f>
        <v>1.4263999999999999</v>
      </c>
      <c r="AC9" s="2854"/>
      <c r="AD9" s="2855">
        <f>ROUND(AVERAGE(I9:I$36)/100,4)</f>
        <v>1.8200000000000001E-2</v>
      </c>
      <c r="AE9" s="2855">
        <f>ROUND(AVERAGE(J9:J$36)/100,4)</f>
        <v>1.1599999999999999E-2</v>
      </c>
      <c r="AF9" s="2855">
        <f t="shared" ref="AF9" si="56">AE9</f>
        <v>1.1599999999999999E-2</v>
      </c>
      <c r="AG9" s="2855">
        <f>ROUND(AVERAGE(K9:K$36)/100,4)</f>
        <v>0.02</v>
      </c>
      <c r="AH9" s="2855">
        <f>ROUND(AVERAGE(L9:L$36)/100,4)</f>
        <v>1.3299999999999999E-2</v>
      </c>
    </row>
    <row r="10" spans="1:34" s="2873" customFormat="1">
      <c r="A10" s="2866" t="s">
        <v>2975</v>
      </c>
      <c r="B10" s="2867">
        <f t="shared" ref="B10" si="57">B11*(1+N10)</f>
        <v>483.1434279321756</v>
      </c>
      <c r="C10" s="2867">
        <f t="shared" ref="C10" si="58">C11*(1+O10)</f>
        <v>345.93622669144776</v>
      </c>
      <c r="D10" s="2867">
        <f t="shared" ref="D10" si="59">C10</f>
        <v>345.93622669144776</v>
      </c>
      <c r="E10" s="2867">
        <f t="shared" ref="E10" si="60">E11*(1+P10)</f>
        <v>694.24498562544113</v>
      </c>
      <c r="F10" s="2867">
        <f t="shared" ref="F10" si="61">F11*(1+Q10)</f>
        <v>319.35475932716082</v>
      </c>
      <c r="G10" s="2850">
        <v>2020</v>
      </c>
      <c r="H10" s="2868">
        <v>3</v>
      </c>
      <c r="I10" s="2830">
        <v>0.36</v>
      </c>
      <c r="J10" s="2830">
        <v>-0.39</v>
      </c>
      <c r="K10" s="2830">
        <v>0.49</v>
      </c>
      <c r="L10" s="2831">
        <v>7.0000000000000007E-2</v>
      </c>
      <c r="M10" s="2854"/>
      <c r="N10" s="2869">
        <f t="shared" ref="N10" si="62">I10/100</f>
        <v>3.5999999999999999E-3</v>
      </c>
      <c r="O10" s="2855">
        <f t="shared" ref="O10" si="63">J10/100</f>
        <v>-3.9000000000000003E-3</v>
      </c>
      <c r="P10" s="2855">
        <f t="shared" ref="P10" si="64">K10/100</f>
        <v>4.8999999999999998E-3</v>
      </c>
      <c r="Q10" s="2855">
        <f t="shared" ref="Q10" si="65">L10/100</f>
        <v>7.000000000000001E-4</v>
      </c>
      <c r="R10" s="2870"/>
      <c r="S10" s="2871"/>
      <c r="T10" s="2872"/>
      <c r="U10" s="2872"/>
      <c r="V10" s="2872"/>
      <c r="W10" s="2854"/>
      <c r="X10" s="2854">
        <f>ROUND(IF(项目基本情况!B7="出让",SUMPRODUCT(PRODUCT(1+N10:N$36)),SUMPRODUCT(PRODUCT(1+N10:N$35))),4)</f>
        <v>1.571</v>
      </c>
      <c r="Y10" s="2854">
        <f>ROUND(IF(项目基本情况!B7="出让",SUMPRODUCT(PRODUCT(1+O10:O$36)),SUMPRODUCT(PRODUCT(1+O10:O$35))),4)</f>
        <v>1.3420000000000001</v>
      </c>
      <c r="Z10" s="2854">
        <f t="shared" ref="Z10" si="66">Y10</f>
        <v>1.3420000000000001</v>
      </c>
      <c r="AA10" s="2854">
        <f>ROUND(IF(项目基本情况!B7="出让",SUMPRODUCT(PRODUCT(1+P10:P$36)),SUMPRODUCT(PRODUCT(1+P10:P$35))),4)</f>
        <v>1.6415999999999999</v>
      </c>
      <c r="AB10" s="2854">
        <f>ROUND(IF(项目基本情况!B7="出让",SUMPRODUCT(PRODUCT(1+Q10:Q$36)),SUMPRODUCT(PRODUCT(1+Q10:Q$35))),4)</f>
        <v>1.389</v>
      </c>
      <c r="AC10" s="2854"/>
      <c r="AD10" s="2855">
        <f>ROUND(AVERAGE(I10:I$36)/100,4)</f>
        <v>1.8100000000000002E-2</v>
      </c>
      <c r="AE10" s="2855">
        <f>ROUND(AVERAGE(J10:J$36)/100,4)</f>
        <v>1.1900000000000001E-2</v>
      </c>
      <c r="AF10" s="2855">
        <f t="shared" ref="AF10" si="67">AE10</f>
        <v>1.1900000000000001E-2</v>
      </c>
      <c r="AG10" s="2855">
        <f>ROUND(AVERAGE(K10:K$36)/100,4)</f>
        <v>1.9900000000000001E-2</v>
      </c>
      <c r="AH10" s="2855">
        <f>ROUND(AVERAGE(L10:L$36)/100,4)</f>
        <v>1.2800000000000001E-2</v>
      </c>
    </row>
    <row r="11" spans="1:34" s="2873" customFormat="1">
      <c r="A11" s="2866" t="s">
        <v>2938</v>
      </c>
      <c r="B11" s="2867">
        <f t="shared" ref="B11" si="68">B12*(1+N11)</f>
        <v>481.4103506697644</v>
      </c>
      <c r="C11" s="2867">
        <f t="shared" ref="C11" si="69">C12*(1+O11)</f>
        <v>347.29066026648707</v>
      </c>
      <c r="D11" s="2867">
        <f t="shared" ref="D11" si="70">C11</f>
        <v>347.29066026648707</v>
      </c>
      <c r="E11" s="2867">
        <f t="shared" ref="E11" si="71">E12*(1+P11)</f>
        <v>690.85977273901995</v>
      </c>
      <c r="F11" s="2867">
        <f t="shared" ref="F11" si="72">F12*(1+Q11)</f>
        <v>319.13136737000184</v>
      </c>
      <c r="G11" s="2850">
        <v>2020</v>
      </c>
      <c r="H11" s="2868">
        <v>2</v>
      </c>
      <c r="I11" s="2830">
        <v>0.31</v>
      </c>
      <c r="J11" s="2830">
        <v>-0.78</v>
      </c>
      <c r="K11" s="2830">
        <v>0.5</v>
      </c>
      <c r="L11" s="2831">
        <v>0.47</v>
      </c>
      <c r="M11" s="2854"/>
      <c r="N11" s="2869">
        <f t="shared" ref="N11" si="73">I11/100</f>
        <v>3.0999999999999999E-3</v>
      </c>
      <c r="O11" s="2855">
        <f t="shared" ref="O11" si="74">J11/100</f>
        <v>-7.8000000000000005E-3</v>
      </c>
      <c r="P11" s="2855">
        <f t="shared" ref="P11" si="75">K11/100</f>
        <v>5.0000000000000001E-3</v>
      </c>
      <c r="Q11" s="2855">
        <f t="shared" ref="Q11" si="76">L11/100</f>
        <v>4.6999999999999993E-3</v>
      </c>
      <c r="R11" s="2870"/>
      <c r="S11" s="2871"/>
      <c r="T11" s="2872"/>
      <c r="U11" s="2872"/>
      <c r="V11" s="2872"/>
      <c r="W11" s="2854"/>
      <c r="X11" s="2854">
        <f>ROUND(IF(项目基本情况!B8="出让",SUMPRODUCT(PRODUCT(1+N11:N$36)),SUMPRODUCT(PRODUCT(1+N11:N$35))),4)</f>
        <v>1.5652999999999999</v>
      </c>
      <c r="Y11" s="2854">
        <f>ROUND(IF(项目基本情况!B8="出让",SUMPRODUCT(PRODUCT(1+O11:O$36)),SUMPRODUCT(PRODUCT(1+O11:O$35))),4)</f>
        <v>1.3472</v>
      </c>
      <c r="Z11" s="2854">
        <f t="shared" ref="Z11" si="77">Y11</f>
        <v>1.3472</v>
      </c>
      <c r="AA11" s="2854">
        <f>ROUND(IF(项目基本情况!B8="出让",SUMPRODUCT(PRODUCT(1+P11:P$36)),SUMPRODUCT(PRODUCT(1+P11:P$35))),4)</f>
        <v>1.6335999999999999</v>
      </c>
      <c r="AB11" s="2854">
        <f>ROUND(IF(项目基本情况!B8="出让",SUMPRODUCT(PRODUCT(1+Q11:Q$36)),SUMPRODUCT(PRODUCT(1+Q11:Q$35))),4)</f>
        <v>1.3880999999999999</v>
      </c>
      <c r="AC11" s="2854"/>
      <c r="AD11" s="2855">
        <f>ROUND(AVERAGE(I11:I$36)/100,4)</f>
        <v>1.8599999999999998E-2</v>
      </c>
      <c r="AE11" s="2855">
        <f>ROUND(AVERAGE(J11:J$36)/100,4)</f>
        <v>1.2500000000000001E-2</v>
      </c>
      <c r="AF11" s="2855">
        <f t="shared" ref="AF11" si="78">AE11</f>
        <v>1.2500000000000001E-2</v>
      </c>
      <c r="AG11" s="2855">
        <f>ROUND(AVERAGE(K11:K$36)/100,4)</f>
        <v>2.0400000000000001E-2</v>
      </c>
      <c r="AH11" s="2855">
        <f>ROUND(AVERAGE(L11:L$36)/100,4)</f>
        <v>1.32E-2</v>
      </c>
    </row>
    <row r="12" spans="1:34" s="2873" customFormat="1">
      <c r="A12" s="2866" t="s">
        <v>2936</v>
      </c>
      <c r="B12" s="2867">
        <f t="shared" ref="B12" si="79">B13*(1+N12)</f>
        <v>479.92259063878413</v>
      </c>
      <c r="C12" s="2867">
        <f t="shared" ref="C12" si="80">C13*(1+O12)</f>
        <v>350.02082268341775</v>
      </c>
      <c r="D12" s="2867">
        <f t="shared" ref="D12" si="81">C12</f>
        <v>350.02082268341775</v>
      </c>
      <c r="E12" s="2867">
        <f t="shared" ref="E12" si="82">E13*(1+P12)</f>
        <v>687.42265944181099</v>
      </c>
      <c r="F12" s="2867">
        <f t="shared" ref="F12" si="83">F13*(1+Q12)</f>
        <v>317.63846657708956</v>
      </c>
      <c r="G12" s="2850">
        <v>2020</v>
      </c>
      <c r="H12" s="2868">
        <v>1</v>
      </c>
      <c r="I12" s="2830">
        <v>0.12</v>
      </c>
      <c r="J12" s="2830">
        <v>-0.4</v>
      </c>
      <c r="K12" s="2830">
        <v>0.21</v>
      </c>
      <c r="L12" s="2831">
        <v>0.27</v>
      </c>
      <c r="M12" s="2854"/>
      <c r="N12" s="2869">
        <f t="shared" ref="N12" si="84">I12/100</f>
        <v>1.1999999999999999E-3</v>
      </c>
      <c r="O12" s="2855">
        <f t="shared" ref="O12" si="85">J12/100</f>
        <v>-4.0000000000000001E-3</v>
      </c>
      <c r="P12" s="2855">
        <f t="shared" ref="P12" si="86">K12/100</f>
        <v>2.0999999999999999E-3</v>
      </c>
      <c r="Q12" s="2855">
        <f t="shared" ref="Q12" si="87">L12/100</f>
        <v>2.7000000000000001E-3</v>
      </c>
      <c r="R12" s="2870"/>
      <c r="S12" s="2871">
        <f>B12/B13-1</f>
        <v>1.2000000000000899E-3</v>
      </c>
      <c r="T12" s="2872">
        <f>C12/C13-1</f>
        <v>-4.0000000000000036E-3</v>
      </c>
      <c r="U12" s="2872">
        <f>E12/E13-1</f>
        <v>2.0999999999999908E-3</v>
      </c>
      <c r="V12" s="2872">
        <f>F12/F13-1</f>
        <v>2.6999999999999247E-3</v>
      </c>
      <c r="W12" s="2854"/>
      <c r="X12" s="2854">
        <f>ROUND(IF(项目基本情况!B8="出让",SUMPRODUCT(PRODUCT(1+N12:N$36)),SUMPRODUCT(PRODUCT(1+N12:N$35))),4)</f>
        <v>1.5605</v>
      </c>
      <c r="Y12" s="2854">
        <f>ROUND(IF(项目基本情况!B8="出让",SUMPRODUCT(PRODUCT(1+O12:O$36)),SUMPRODUCT(PRODUCT(1+O12:O$35))),4)</f>
        <v>1.3577999999999999</v>
      </c>
      <c r="Z12" s="2854">
        <f t="shared" ref="Z12" si="88">Y12</f>
        <v>1.3577999999999999</v>
      </c>
      <c r="AA12" s="2854">
        <f>ROUND(IF(项目基本情况!B8="出让",SUMPRODUCT(PRODUCT(1+P12:P$36)),SUMPRODUCT(PRODUCT(1+P12:P$35))),4)</f>
        <v>1.6254999999999999</v>
      </c>
      <c r="AB12" s="2854">
        <f>ROUND(IF(项目基本情况!B8="出让",SUMPRODUCT(PRODUCT(1+Q12:Q$36)),SUMPRODUCT(PRODUCT(1+Q12:Q$35))),4)</f>
        <v>1.3815999999999999</v>
      </c>
      <c r="AC12" s="2854"/>
      <c r="AD12" s="2855">
        <f>ROUND(AVERAGE(I12:I$36)/100,4)</f>
        <v>1.9199999999999998E-2</v>
      </c>
      <c r="AE12" s="2855">
        <f>ROUND(AVERAGE(J12:J$36)/100,4)</f>
        <v>1.3299999999999999E-2</v>
      </c>
      <c r="AF12" s="2855">
        <f t="shared" ref="AF12" si="89">AE12</f>
        <v>1.3299999999999999E-2</v>
      </c>
      <c r="AG12" s="2855">
        <f>ROUND(AVERAGE(K12:K$36)/100,4)</f>
        <v>2.1100000000000001E-2</v>
      </c>
      <c r="AH12" s="2855">
        <f>ROUND(AVERAGE(L12:L$36)/100,4)</f>
        <v>1.3599999999999999E-2</v>
      </c>
    </row>
    <row r="13" spans="1:34" s="2873" customFormat="1">
      <c r="A13" s="2866" t="s">
        <v>2933</v>
      </c>
      <c r="B13" s="2867">
        <f t="shared" ref="B13" si="90">B14*(1+N13)</f>
        <v>479.34737379023579</v>
      </c>
      <c r="C13" s="2867">
        <f t="shared" ref="C13" si="91">C14*(1+O13)</f>
        <v>351.4265287986122</v>
      </c>
      <c r="D13" s="2867">
        <f t="shared" ref="D13" si="92">C13</f>
        <v>351.4265287986122</v>
      </c>
      <c r="E13" s="2867">
        <f t="shared" ref="E13" si="93">E14*(1+P13)</f>
        <v>685.98209703803116</v>
      </c>
      <c r="F13" s="2867">
        <f t="shared" ref="F13" si="94">F14*(1+Q13)</f>
        <v>316.78315206651001</v>
      </c>
      <c r="G13" s="2850">
        <v>2019</v>
      </c>
      <c r="H13" s="2868">
        <v>4</v>
      </c>
      <c r="I13" s="2868">
        <v>0.45</v>
      </c>
      <c r="J13" s="2868">
        <v>-0.12</v>
      </c>
      <c r="K13" s="2868">
        <v>0.54</v>
      </c>
      <c r="L13" s="2874">
        <v>0.48</v>
      </c>
      <c r="M13" s="2854"/>
      <c r="N13" s="2869">
        <f t="shared" ref="N13" si="95">I13/100</f>
        <v>4.5000000000000005E-3</v>
      </c>
      <c r="O13" s="2855">
        <f t="shared" ref="O13" si="96">J13/100</f>
        <v>-1.1999999999999999E-3</v>
      </c>
      <c r="P13" s="2855">
        <f t="shared" ref="P13" si="97">K13/100</f>
        <v>5.4000000000000003E-3</v>
      </c>
      <c r="Q13" s="2855">
        <f t="shared" ref="Q13" si="98">L13/100</f>
        <v>4.7999999999999996E-3</v>
      </c>
      <c r="R13" s="2870"/>
      <c r="S13" s="2871"/>
      <c r="T13" s="2872"/>
      <c r="U13" s="2872"/>
      <c r="V13" s="2872"/>
      <c r="W13" s="2854"/>
      <c r="X13" s="2854">
        <f>ROUND(IF(项目基本情况!B8="出让",SUMPRODUCT(PRODUCT(1+N13:N$36)),SUMPRODUCT(PRODUCT(1+N13:N$35))),4)</f>
        <v>1.5586</v>
      </c>
      <c r="Y13" s="2854">
        <f>ROUND(IF(项目基本情况!B8="出让",SUMPRODUCT(PRODUCT(1+O13:O$36)),SUMPRODUCT(PRODUCT(1+O13:O$35))),4)</f>
        <v>1.3633</v>
      </c>
      <c r="Z13" s="2854">
        <f t="shared" ref="Z13" si="99">Y13</f>
        <v>1.3633</v>
      </c>
      <c r="AA13" s="2854">
        <f>ROUND(IF(项目基本情况!B8="出让",SUMPRODUCT(PRODUCT(1+P13:P$36)),SUMPRODUCT(PRODUCT(1+P13:P$35))),4)</f>
        <v>1.6221000000000001</v>
      </c>
      <c r="AB13" s="2854">
        <f>ROUND(IF(项目基本情况!B8="出让",SUMPRODUCT(PRODUCT(1+Q13:Q$36)),SUMPRODUCT(PRODUCT(1+Q13:Q$35))),4)</f>
        <v>1.3777999999999999</v>
      </c>
      <c r="AC13" s="2854"/>
      <c r="AD13" s="2855">
        <f>ROUND(AVERAGE(I13:I$36)/100,4)</f>
        <v>0.02</v>
      </c>
      <c r="AE13" s="2855">
        <f>ROUND(AVERAGE(J13:J$36)/100,4)</f>
        <v>1.4E-2</v>
      </c>
      <c r="AF13" s="2855">
        <f t="shared" ref="AF13" si="100">AE13</f>
        <v>1.4E-2</v>
      </c>
      <c r="AG13" s="2855">
        <f>ROUND(AVERAGE(K13:K$36)/100,4)</f>
        <v>2.1899999999999999E-2</v>
      </c>
      <c r="AH13" s="2855">
        <f>ROUND(AVERAGE(L13:L$36)/100,4)</f>
        <v>1.4E-2</v>
      </c>
    </row>
    <row r="14" spans="1:34" s="2873" customFormat="1" ht="13.5" thickBot="1">
      <c r="A14" s="2866" t="s">
        <v>2932</v>
      </c>
      <c r="B14" s="2867">
        <f t="shared" ref="B14" si="101">B15*(1+N14)</f>
        <v>477.19997390765138</v>
      </c>
      <c r="C14" s="2867">
        <f t="shared" ref="C14" si="102">C15*(1+O14)</f>
        <v>351.84874729536665</v>
      </c>
      <c r="D14" s="2867">
        <f t="shared" ref="D14" si="103">C14</f>
        <v>351.84874729536665</v>
      </c>
      <c r="E14" s="2867">
        <f t="shared" ref="E14" si="104">E15*(1+P14)</f>
        <v>682.29768951465201</v>
      </c>
      <c r="F14" s="2867">
        <f t="shared" ref="F14" si="105">F15*(1+Q14)</f>
        <v>315.26985675409043</v>
      </c>
      <c r="G14" s="2850">
        <v>2019</v>
      </c>
      <c r="H14" s="2868">
        <v>3</v>
      </c>
      <c r="I14" s="2868">
        <v>0.61</v>
      </c>
      <c r="J14" s="2868">
        <v>0.67</v>
      </c>
      <c r="K14" s="2868">
        <v>0.6</v>
      </c>
      <c r="L14" s="2874">
        <v>1.03</v>
      </c>
      <c r="M14" s="2854"/>
      <c r="N14" s="2869">
        <f t="shared" ref="N14" si="106">I14/100</f>
        <v>6.0999999999999995E-3</v>
      </c>
      <c r="O14" s="2855">
        <f t="shared" ref="O14" si="107">J14/100</f>
        <v>6.7000000000000002E-3</v>
      </c>
      <c r="P14" s="2855">
        <f t="shared" ref="P14" si="108">K14/100</f>
        <v>6.0000000000000001E-3</v>
      </c>
      <c r="Q14" s="2855">
        <f t="shared" ref="Q14" si="109">L14/100</f>
        <v>1.03E-2</v>
      </c>
      <c r="R14" s="2870"/>
      <c r="S14" s="2871"/>
      <c r="T14" s="2872"/>
      <c r="U14" s="2872"/>
      <c r="V14" s="2872"/>
      <c r="W14" s="2854"/>
      <c r="X14" s="2854">
        <f>ROUND(IF(项目基本情况!B8="出让",SUMPRODUCT(PRODUCT(1+N14:N$36)),SUMPRODUCT(PRODUCT(1+N14:N$35))),4)</f>
        <v>1.5516000000000001</v>
      </c>
      <c r="Y14" s="2854">
        <f>ROUND(IF(项目基本情况!B8="出让",SUMPRODUCT(PRODUCT(1+O14:O$36)),SUMPRODUCT(PRODUCT(1+O14:O$35))),4)</f>
        <v>1.3649</v>
      </c>
      <c r="Z14" s="2854">
        <f t="shared" ref="Z14" si="110">Y14</f>
        <v>1.3649</v>
      </c>
      <c r="AA14" s="2854">
        <f>ROUND(IF(项目基本情况!B8="出让",SUMPRODUCT(PRODUCT(1+P14:P$36)),SUMPRODUCT(PRODUCT(1+P14:P$35))),4)</f>
        <v>1.6133999999999999</v>
      </c>
      <c r="AB14" s="2854">
        <f>ROUND(IF(项目基本情况!B8="出让",SUMPRODUCT(PRODUCT(1+Q14:Q$36)),SUMPRODUCT(PRODUCT(1+Q14:Q$35))),4)</f>
        <v>1.3713</v>
      </c>
      <c r="AC14" s="2854"/>
      <c r="AD14" s="2855">
        <f>ROUND(AVERAGE(I14:I$36)/100,4)</f>
        <v>2.07E-2</v>
      </c>
      <c r="AE14" s="2855">
        <f>ROUND(AVERAGE(J14:J$36)/100,4)</f>
        <v>1.47E-2</v>
      </c>
      <c r="AF14" s="2855">
        <f t="shared" ref="AF14" si="111">AE14</f>
        <v>1.47E-2</v>
      </c>
      <c r="AG14" s="2855">
        <f>ROUND(AVERAGE(K14:K$36)/100,4)</f>
        <v>2.2599999999999999E-2</v>
      </c>
      <c r="AH14" s="2855">
        <f>ROUND(AVERAGE(L14:L$36)/100,4)</f>
        <v>1.44E-2</v>
      </c>
    </row>
    <row r="15" spans="1:34" s="2873" customFormat="1">
      <c r="A15" s="2866" t="s">
        <v>2929</v>
      </c>
      <c r="B15" s="2867">
        <f t="shared" ref="B15:B20" si="112">B16*(1+N15)</f>
        <v>474.30670301923408</v>
      </c>
      <c r="C15" s="2867">
        <f t="shared" ref="C15" si="113">C16*(1+O15)</f>
        <v>349.50705005996491</v>
      </c>
      <c r="D15" s="2867">
        <f t="shared" ref="D15" si="114">C15</f>
        <v>349.50705005996491</v>
      </c>
      <c r="E15" s="2867">
        <f t="shared" ref="E15" si="115">E16*(1+P15)</f>
        <v>678.22831959706957</v>
      </c>
      <c r="F15" s="2867">
        <f t="shared" ref="F15" si="116">F16*(1+Q15)</f>
        <v>312.0556832169558</v>
      </c>
      <c r="G15" s="2850">
        <v>2019</v>
      </c>
      <c r="H15" s="2875">
        <v>2</v>
      </c>
      <c r="I15" s="2875">
        <v>1.53</v>
      </c>
      <c r="J15" s="2875">
        <v>1.01</v>
      </c>
      <c r="K15" s="2875">
        <v>1.62</v>
      </c>
      <c r="L15" s="2876">
        <v>1.25</v>
      </c>
      <c r="M15" s="2854"/>
      <c r="N15" s="2869">
        <f t="shared" ref="N15" si="117">I15/100</f>
        <v>1.5300000000000001E-2</v>
      </c>
      <c r="O15" s="2855">
        <f t="shared" ref="O15" si="118">J15/100</f>
        <v>1.01E-2</v>
      </c>
      <c r="P15" s="2855">
        <f t="shared" ref="P15" si="119">K15/100</f>
        <v>1.6200000000000003E-2</v>
      </c>
      <c r="Q15" s="2855">
        <f t="shared" ref="Q15" si="120">L15/100</f>
        <v>1.2500000000000001E-2</v>
      </c>
      <c r="R15" s="2870"/>
      <c r="S15" s="2871"/>
      <c r="T15" s="2872"/>
      <c r="U15" s="2872"/>
      <c r="V15" s="2872"/>
      <c r="W15" s="2854"/>
      <c r="X15" s="2854">
        <f>ROUND(IF(项目基本情况!B8="出让",SUMPRODUCT(PRODUCT(1+N15:N$36)),SUMPRODUCT(PRODUCT(1+N15:N$35))),4)</f>
        <v>1.5422</v>
      </c>
      <c r="Y15" s="2854">
        <f>ROUND(IF(项目基本情况!B8="出让",SUMPRODUCT(PRODUCT(1+O15:O$36)),SUMPRODUCT(PRODUCT(1+O15:O$35))),4)</f>
        <v>1.3557999999999999</v>
      </c>
      <c r="Z15" s="2854">
        <f t="shared" ref="Z15" si="121">Y15</f>
        <v>1.3557999999999999</v>
      </c>
      <c r="AA15" s="2854">
        <f>ROUND(IF(项目基本情况!B8="出让",SUMPRODUCT(PRODUCT(1+P15:P$36)),SUMPRODUCT(PRODUCT(1+P15:P$35))),4)</f>
        <v>1.6036999999999999</v>
      </c>
      <c r="AB15" s="2854">
        <f>ROUND(IF(项目基本情况!B8="出让",SUMPRODUCT(PRODUCT(1+Q15:Q$36)),SUMPRODUCT(PRODUCT(1+Q15:Q$35))),4)</f>
        <v>1.3573</v>
      </c>
      <c r="AC15" s="2854"/>
      <c r="AD15" s="2855">
        <f>ROUND(AVERAGE(I15:I$36)/100,4)</f>
        <v>2.1299999999999999E-2</v>
      </c>
      <c r="AE15" s="2855">
        <f>ROUND(AVERAGE(J15:J$36)/100,4)</f>
        <v>1.4999999999999999E-2</v>
      </c>
      <c r="AF15" s="2855">
        <f t="shared" ref="AF15" si="122">AE15</f>
        <v>1.4999999999999999E-2</v>
      </c>
      <c r="AG15" s="2855">
        <f>ROUND(AVERAGE(K15:K$36)/100,4)</f>
        <v>2.3300000000000001E-2</v>
      </c>
      <c r="AH15" s="2855">
        <f>ROUND(AVERAGE(L15:L$36)/100,4)</f>
        <v>1.46E-2</v>
      </c>
    </row>
    <row r="16" spans="1:34" s="2873" customFormat="1" ht="13.5" thickBot="1">
      <c r="A16" s="2866" t="s">
        <v>2928</v>
      </c>
      <c r="B16" s="2867">
        <f t="shared" si="112"/>
        <v>467.15916775261894</v>
      </c>
      <c r="C16" s="2867">
        <f t="shared" ref="C16" si="123">C17*(1+O16)</f>
        <v>346.01232557169084</v>
      </c>
      <c r="D16" s="2867">
        <f t="shared" ref="D16" si="124">C16</f>
        <v>346.01232557169084</v>
      </c>
      <c r="E16" s="2867">
        <f t="shared" ref="E16" si="125">E17*(1+P16)</f>
        <v>667.41617752122568</v>
      </c>
      <c r="F16" s="2867">
        <f t="shared" ref="F16" si="126">F17*(1+Q16)</f>
        <v>308.20314391798104</v>
      </c>
      <c r="G16" s="2850">
        <v>2019</v>
      </c>
      <c r="H16" s="2868">
        <v>1</v>
      </c>
      <c r="I16" s="2868">
        <v>0.6</v>
      </c>
      <c r="J16" s="2868">
        <v>0.37</v>
      </c>
      <c r="K16" s="2868">
        <v>0.63</v>
      </c>
      <c r="L16" s="2874">
        <v>1.1299999999999999</v>
      </c>
      <c r="M16" s="2854"/>
      <c r="N16" s="2869">
        <f t="shared" ref="N16" si="127">I16/100</f>
        <v>6.0000000000000001E-3</v>
      </c>
      <c r="O16" s="2855">
        <f t="shared" ref="O16" si="128">J16/100</f>
        <v>3.7000000000000002E-3</v>
      </c>
      <c r="P16" s="2855">
        <f t="shared" ref="P16" si="129">K16/100</f>
        <v>6.3E-3</v>
      </c>
      <c r="Q16" s="2855">
        <f t="shared" ref="Q16" si="130">L16/100</f>
        <v>1.1299999999999999E-2</v>
      </c>
      <c r="R16" s="2870"/>
      <c r="S16" s="2871">
        <f>B16/B17-1</f>
        <v>6.0000000000000053E-3</v>
      </c>
      <c r="T16" s="2872">
        <f>C16/C17-1</f>
        <v>3.7000000000000366E-3</v>
      </c>
      <c r="U16" s="2872">
        <f>E16/E17-1</f>
        <v>6.2999999999999723E-3</v>
      </c>
      <c r="V16" s="2872">
        <f>F16/F17-1</f>
        <v>1.1300000000000088E-2</v>
      </c>
      <c r="W16" s="2854"/>
      <c r="X16" s="2854">
        <f>ROUND(IF(项目基本情况!B8="出让",SUMPRODUCT(PRODUCT(1+N16:N$36)),SUMPRODUCT(PRODUCT(1+N16:N$35))),4)</f>
        <v>1.5189999999999999</v>
      </c>
      <c r="Y16" s="2854">
        <f>ROUND(IF(项目基本情况!B8="出让",SUMPRODUCT(PRODUCT(1+O16:O$36)),SUMPRODUCT(PRODUCT(1+O16:O$35))),4)</f>
        <v>1.3423</v>
      </c>
      <c r="Z16" s="2854">
        <f t="shared" ref="Z16" si="131">Y16</f>
        <v>1.3423</v>
      </c>
      <c r="AA16" s="2854">
        <f>ROUND(IF(项目基本情况!B8="出让",SUMPRODUCT(PRODUCT(1+P16:P$36)),SUMPRODUCT(PRODUCT(1+P16:P$35))),4)</f>
        <v>1.5782</v>
      </c>
      <c r="AB16" s="2854">
        <f>ROUND(IF(项目基本情况!B8="出让",SUMPRODUCT(PRODUCT(1+Q16:Q$36)),SUMPRODUCT(PRODUCT(1+Q16:Q$35))),4)</f>
        <v>1.3405</v>
      </c>
      <c r="AC16" s="2854"/>
      <c r="AD16" s="2855">
        <f>ROUND(AVERAGE(I16:I$36)/100,4)</f>
        <v>2.1600000000000001E-2</v>
      </c>
      <c r="AE16" s="2855">
        <f>ROUND(AVERAGE(J16:J$36)/100,4)</f>
        <v>1.5299999999999999E-2</v>
      </c>
      <c r="AF16" s="2855">
        <f t="shared" ref="AF16" si="132">AE16</f>
        <v>1.5299999999999999E-2</v>
      </c>
      <c r="AG16" s="2855">
        <f>ROUND(AVERAGE(K16:K$36)/100,4)</f>
        <v>2.3699999999999999E-2</v>
      </c>
      <c r="AH16" s="2855">
        <f>ROUND(AVERAGE(L16:L$36)/100,4)</f>
        <v>1.47E-2</v>
      </c>
    </row>
    <row r="17" spans="1:34" s="2873" customFormat="1">
      <c r="A17" s="2866" t="s">
        <v>2926</v>
      </c>
      <c r="B17" s="2877">
        <f t="shared" si="112"/>
        <v>464.37293017158942</v>
      </c>
      <c r="C17" s="2877">
        <f t="shared" ref="C17" si="133">C18*(1+O17)</f>
        <v>344.73679941385956</v>
      </c>
      <c r="D17" s="2877">
        <f t="shared" ref="D17" si="134">C17</f>
        <v>344.73679941385956</v>
      </c>
      <c r="E17" s="2877">
        <f t="shared" ref="E17" si="135">E18*(1+P17)</f>
        <v>663.2377795103107</v>
      </c>
      <c r="F17" s="2878">
        <f t="shared" ref="F17" si="136">F18*(1+Q17)</f>
        <v>304.75936311478398</v>
      </c>
      <c r="G17" s="3586">
        <v>2018</v>
      </c>
      <c r="H17" s="2875">
        <v>4</v>
      </c>
      <c r="I17" s="2875">
        <v>0.96</v>
      </c>
      <c r="J17" s="2875">
        <v>1.03</v>
      </c>
      <c r="K17" s="2875">
        <v>0.92</v>
      </c>
      <c r="L17" s="2876">
        <v>1.29</v>
      </c>
      <c r="M17" s="2854"/>
      <c r="N17" s="2869">
        <f t="shared" ref="N17" si="137">I17/100</f>
        <v>9.5999999999999992E-3</v>
      </c>
      <c r="O17" s="2855">
        <f t="shared" ref="O17" si="138">J17/100</f>
        <v>1.03E-2</v>
      </c>
      <c r="P17" s="2855">
        <f t="shared" ref="P17" si="139">K17/100</f>
        <v>9.1999999999999998E-3</v>
      </c>
      <c r="Q17" s="2855">
        <f t="shared" ref="Q17" si="140">L17/100</f>
        <v>1.29E-2</v>
      </c>
      <c r="R17" s="2870"/>
      <c r="S17" s="2879"/>
      <c r="T17" s="2880"/>
      <c r="U17" s="2880"/>
      <c r="V17" s="2880"/>
      <c r="W17" s="2854"/>
      <c r="X17" s="2854">
        <f>ROUND(SUMPRODUCT(PRODUCT(1+N17:N$35)),4)</f>
        <v>1.5099</v>
      </c>
      <c r="Y17" s="2854">
        <f>ROUND(SUMPRODUCT(PRODUCT(1+O17:O$35)),4)</f>
        <v>1.3372999999999999</v>
      </c>
      <c r="Z17" s="2854">
        <f t="shared" ref="Z17" si="141">Y17</f>
        <v>1.3372999999999999</v>
      </c>
      <c r="AA17" s="2854">
        <f>ROUND(SUMPRODUCT(PRODUCT(1+P17:P$35)),4)</f>
        <v>1.5683</v>
      </c>
      <c r="AB17" s="2854">
        <f>ROUND(SUMPRODUCT(PRODUCT(1+Q17:Q$35)),4)</f>
        <v>1.3255999999999999</v>
      </c>
      <c r="AC17" s="2854"/>
      <c r="AD17" s="2855">
        <f>ROUND(AVERAGE(I17:I$36)/100,4)</f>
        <v>2.24E-2</v>
      </c>
      <c r="AE17" s="2855">
        <f>ROUND(AVERAGE(J17:J$36)/100,4)</f>
        <v>1.5800000000000002E-2</v>
      </c>
      <c r="AF17" s="2855">
        <f t="shared" ref="AF17" si="142">AE17</f>
        <v>1.5800000000000002E-2</v>
      </c>
      <c r="AG17" s="2855">
        <f>ROUND(AVERAGE(K17:K$36)/100,4)</f>
        <v>2.4500000000000001E-2</v>
      </c>
      <c r="AH17" s="2855">
        <f>ROUND(AVERAGE(L17:L$36)/100,4)</f>
        <v>1.49E-2</v>
      </c>
    </row>
    <row r="18" spans="1:34" s="2873" customFormat="1" ht="14.45" customHeight="1">
      <c r="A18" s="2866" t="s">
        <v>2919</v>
      </c>
      <c r="B18" s="2867">
        <f t="shared" si="112"/>
        <v>459.95733971036987</v>
      </c>
      <c r="C18" s="2867">
        <f t="shared" ref="C18" si="143">C19*(1+O18)</f>
        <v>341.22221064422405</v>
      </c>
      <c r="D18" s="2867">
        <f t="shared" ref="D18" si="144">C18</f>
        <v>341.22221064422405</v>
      </c>
      <c r="E18" s="2867">
        <f t="shared" ref="E18" si="145">E19*(1+P18)</f>
        <v>657.19161663724799</v>
      </c>
      <c r="F18" s="2867">
        <f t="shared" ref="F18" si="146">F19*(1+Q18)</f>
        <v>300.87803644464805</v>
      </c>
      <c r="G18" s="3586"/>
      <c r="H18" s="2868">
        <v>3</v>
      </c>
      <c r="I18" s="2868">
        <v>1.51</v>
      </c>
      <c r="J18" s="2868">
        <v>1.41</v>
      </c>
      <c r="K18" s="2868">
        <v>1.52</v>
      </c>
      <c r="L18" s="2874">
        <v>1.74</v>
      </c>
      <c r="M18" s="2854"/>
      <c r="N18" s="2869">
        <f t="shared" ref="N18" si="147">I18/100</f>
        <v>1.5100000000000001E-2</v>
      </c>
      <c r="O18" s="2855">
        <f t="shared" ref="O18" si="148">J18/100</f>
        <v>1.41E-2</v>
      </c>
      <c r="P18" s="2855">
        <f t="shared" ref="P18" si="149">K18/100</f>
        <v>1.52E-2</v>
      </c>
      <c r="Q18" s="2855">
        <f t="shared" ref="Q18" si="150">L18/100</f>
        <v>1.7399999999999999E-2</v>
      </c>
      <c r="R18" s="2870"/>
      <c r="S18" s="2869"/>
      <c r="T18" s="2855"/>
      <c r="U18" s="2855"/>
      <c r="V18" s="2855"/>
      <c r="W18" s="2854"/>
      <c r="X18" s="2854">
        <f>ROUND(SUMPRODUCT(PRODUCT(1+N18:N$35)),4)</f>
        <v>1.4956</v>
      </c>
      <c r="Y18" s="2854">
        <f>ROUND(SUMPRODUCT(PRODUCT(1+O18:O$35)),4)</f>
        <v>1.3237000000000001</v>
      </c>
      <c r="Z18" s="2854">
        <f t="shared" ref="Z18" si="151">Y18</f>
        <v>1.3237000000000001</v>
      </c>
      <c r="AA18" s="2854">
        <f>ROUND(SUMPRODUCT(PRODUCT(1+P18:P$35)),4)</f>
        <v>1.554</v>
      </c>
      <c r="AB18" s="2854">
        <f>ROUND(SUMPRODUCT(PRODUCT(1+Q18:Q$35)),4)</f>
        <v>1.3087</v>
      </c>
      <c r="AC18" s="2854"/>
      <c r="AD18" s="2855">
        <f>ROUND(AVERAGE(I18:I$36)/100,4)</f>
        <v>2.3099999999999999E-2</v>
      </c>
      <c r="AE18" s="2855">
        <f>ROUND(AVERAGE(J18:J$36)/100,4)</f>
        <v>1.61E-2</v>
      </c>
      <c r="AF18" s="2855">
        <f t="shared" ref="AF18" si="152">AE18</f>
        <v>1.61E-2</v>
      </c>
      <c r="AG18" s="2855">
        <f>ROUND(AVERAGE(K18:K$36)/100,4)</f>
        <v>2.53E-2</v>
      </c>
      <c r="AH18" s="2855">
        <f>ROUND(AVERAGE(L18:L$36)/100,4)</f>
        <v>1.4999999999999999E-2</v>
      </c>
    </row>
    <row r="19" spans="1:34" s="2873" customFormat="1" ht="14.45" customHeight="1">
      <c r="A19" s="2866" t="s">
        <v>2920</v>
      </c>
      <c r="B19" s="2867">
        <f t="shared" si="112"/>
        <v>453.11529869999993</v>
      </c>
      <c r="C19" s="2867">
        <f t="shared" ref="C19" si="153">C20*(1+O19)</f>
        <v>336.47787264000004</v>
      </c>
      <c r="D19" s="2867">
        <f t="shared" ref="D19" si="154">C19</f>
        <v>336.47787264000004</v>
      </c>
      <c r="E19" s="2867">
        <f t="shared" ref="E19" si="155">E20*(1+P19)</f>
        <v>647.35186823999993</v>
      </c>
      <c r="F19" s="2867">
        <f t="shared" ref="F19" si="156">F20*(1+Q19)</f>
        <v>295.73229452000004</v>
      </c>
      <c r="G19" s="3586"/>
      <c r="H19" s="2881">
        <v>2</v>
      </c>
      <c r="I19" s="2881">
        <v>1.49</v>
      </c>
      <c r="J19" s="2881">
        <v>0.96</v>
      </c>
      <c r="K19" s="2881">
        <v>1.58</v>
      </c>
      <c r="L19" s="2882">
        <v>2.44</v>
      </c>
      <c r="M19" s="2854"/>
      <c r="N19" s="2869">
        <f t="shared" ref="N19" si="157">I19/100</f>
        <v>1.49E-2</v>
      </c>
      <c r="O19" s="2855">
        <f t="shared" ref="O19" si="158">J19/100</f>
        <v>9.5999999999999992E-3</v>
      </c>
      <c r="P19" s="2855">
        <f t="shared" ref="P19" si="159">K19/100</f>
        <v>1.5800000000000002E-2</v>
      </c>
      <c r="Q19" s="2855">
        <f t="shared" ref="Q19" si="160">L19/100</f>
        <v>2.4399999999999998E-2</v>
      </c>
      <c r="R19" s="2870"/>
      <c r="S19" s="2869"/>
      <c r="T19" s="2855"/>
      <c r="U19" s="2855"/>
      <c r="V19" s="2855"/>
      <c r="W19" s="2854"/>
      <c r="X19" s="2854">
        <f>ROUND(SUMPRODUCT(PRODUCT(1+N19:N$35)),4)</f>
        <v>1.4733000000000001</v>
      </c>
      <c r="Y19" s="2854">
        <f>ROUND(SUMPRODUCT(PRODUCT(1+O19:O$35)),4)</f>
        <v>1.3052999999999999</v>
      </c>
      <c r="Z19" s="2854">
        <f t="shared" ref="Z19" si="161">Y19</f>
        <v>1.3052999999999999</v>
      </c>
      <c r="AA19" s="2854">
        <f>ROUND(SUMPRODUCT(PRODUCT(1+P19:P$35)),4)</f>
        <v>1.5306999999999999</v>
      </c>
      <c r="AB19" s="2854">
        <f>ROUND(SUMPRODUCT(PRODUCT(1+Q19:Q$35)),4)</f>
        <v>1.2863</v>
      </c>
      <c r="AC19" s="2854"/>
      <c r="AD19" s="2855">
        <f>ROUND(AVERAGE(I19:I$36)/100,4)</f>
        <v>2.35E-2</v>
      </c>
      <c r="AE19" s="2855">
        <f>ROUND(AVERAGE(J19:J$36)/100,4)</f>
        <v>1.6199999999999999E-2</v>
      </c>
      <c r="AF19" s="2855">
        <f t="shared" ref="AF19" si="162">AE19</f>
        <v>1.6199999999999999E-2</v>
      </c>
      <c r="AG19" s="2855">
        <f>ROUND(AVERAGE(K19:K$36)/100,4)</f>
        <v>2.5899999999999999E-2</v>
      </c>
      <c r="AH19" s="2855">
        <f>ROUND(AVERAGE(L19:L$36)/100,4)</f>
        <v>1.49E-2</v>
      </c>
    </row>
    <row r="20" spans="1:34" s="2873" customFormat="1" ht="15" customHeight="1" thickBot="1">
      <c r="A20" s="2866" t="s">
        <v>2916</v>
      </c>
      <c r="B20" s="2867">
        <f t="shared" si="112"/>
        <v>446.46299999999997</v>
      </c>
      <c r="C20" s="2867">
        <f t="shared" ref="C20" si="163">C21*(1+O20)</f>
        <v>333.27840000000003</v>
      </c>
      <c r="D20" s="2867">
        <f t="shared" ref="D20:D25" si="164">C20</f>
        <v>333.27840000000003</v>
      </c>
      <c r="E20" s="2867">
        <f t="shared" ref="E20" si="165">E21*(1+P20)</f>
        <v>637.28279999999995</v>
      </c>
      <c r="F20" s="2867">
        <f t="shared" ref="F20" si="166">F21*(1+Q20)</f>
        <v>288.68830000000003</v>
      </c>
      <c r="G20" s="3587"/>
      <c r="H20" s="2868">
        <v>1</v>
      </c>
      <c r="I20" s="2868">
        <v>1.7</v>
      </c>
      <c r="J20" s="2868">
        <v>1.92</v>
      </c>
      <c r="K20" s="2868">
        <v>1.64</v>
      </c>
      <c r="L20" s="2874">
        <v>2.0099999999999998</v>
      </c>
      <c r="M20" s="2854"/>
      <c r="N20" s="2869">
        <f t="shared" ref="N20:N25" si="167">I20/100</f>
        <v>1.7000000000000001E-2</v>
      </c>
      <c r="O20" s="2855">
        <f t="shared" ref="O20" si="168">J20/100</f>
        <v>1.9199999999999998E-2</v>
      </c>
      <c r="P20" s="2855">
        <f t="shared" ref="P20" si="169">K20/100</f>
        <v>1.6399999999999998E-2</v>
      </c>
      <c r="Q20" s="2855">
        <f t="shared" ref="Q20" si="170">L20/100</f>
        <v>2.0099999999999996E-2</v>
      </c>
      <c r="R20" s="2870"/>
      <c r="S20" s="2871">
        <f>B20/B21-1</f>
        <v>1.6999999999999904E-2</v>
      </c>
      <c r="T20" s="2872">
        <f>C20/C21-1</f>
        <v>1.9200000000000106E-2</v>
      </c>
      <c r="U20" s="2872">
        <f>E20/E21-1</f>
        <v>1.639999999999997E-2</v>
      </c>
      <c r="V20" s="2872">
        <f>F20/F21-1</f>
        <v>2.0100000000000007E-2</v>
      </c>
      <c r="W20" s="2854"/>
      <c r="X20" s="2854">
        <f>ROUND(SUMPRODUCT(PRODUCT(1+N20:N$35)),4)</f>
        <v>1.4517</v>
      </c>
      <c r="Y20" s="2854">
        <f>ROUND(SUMPRODUCT(PRODUCT(1+O20:O$35)),4)</f>
        <v>1.2928999999999999</v>
      </c>
      <c r="Z20" s="2854">
        <f t="shared" ref="Z20" si="171">Y20</f>
        <v>1.2928999999999999</v>
      </c>
      <c r="AA20" s="2854">
        <f>ROUND(SUMPRODUCT(PRODUCT(1+P20:P$35)),4)</f>
        <v>1.5068999999999999</v>
      </c>
      <c r="AB20" s="2854">
        <f>ROUND(SUMPRODUCT(PRODUCT(1+Q20:Q$35)),4)</f>
        <v>1.2557</v>
      </c>
      <c r="AC20" s="2854"/>
      <c r="AD20" s="2855">
        <f>ROUND(AVERAGE(I20:I$36)/100,4)</f>
        <v>2.4E-2</v>
      </c>
      <c r="AE20" s="2855">
        <f>ROUND(AVERAGE(J20:J$36)/100,4)</f>
        <v>1.66E-2</v>
      </c>
      <c r="AF20" s="2855">
        <f t="shared" ref="AF20" si="172">AE20</f>
        <v>1.66E-2</v>
      </c>
      <c r="AG20" s="2855">
        <f>ROUND(AVERAGE(K20:K$36)/100,4)</f>
        <v>2.6499999999999999E-2</v>
      </c>
      <c r="AH20" s="2855">
        <f>ROUND(AVERAGE(L20:L$36)/100,4)</f>
        <v>1.43E-2</v>
      </c>
    </row>
    <row r="21" spans="1:34">
      <c r="A21" s="2866" t="s">
        <v>2908</v>
      </c>
      <c r="B21" s="2883">
        <v>439</v>
      </c>
      <c r="C21" s="2883">
        <v>327</v>
      </c>
      <c r="D21" s="2883">
        <f t="shared" si="164"/>
        <v>327</v>
      </c>
      <c r="E21" s="2883">
        <v>627</v>
      </c>
      <c r="F21" s="2884">
        <v>283</v>
      </c>
      <c r="G21" s="3585">
        <v>2017</v>
      </c>
      <c r="H21" s="2875">
        <v>4</v>
      </c>
      <c r="I21" s="2875">
        <v>1.71</v>
      </c>
      <c r="J21" s="2875">
        <v>1.78</v>
      </c>
      <c r="K21" s="2875">
        <v>1.71</v>
      </c>
      <c r="L21" s="2876">
        <v>1.43</v>
      </c>
      <c r="N21" s="2885">
        <f t="shared" si="167"/>
        <v>1.7100000000000001E-2</v>
      </c>
      <c r="O21" s="2886">
        <f t="shared" ref="O21" si="173">J21/100</f>
        <v>1.78E-2</v>
      </c>
      <c r="P21" s="2886">
        <f t="shared" ref="P21" si="174">K21/100</f>
        <v>1.7100000000000001E-2</v>
      </c>
      <c r="Q21" s="2886">
        <f t="shared" ref="Q21" si="175">L21/100</f>
        <v>1.43E-2</v>
      </c>
      <c r="R21" s="2870"/>
      <c r="S21" s="2879"/>
      <c r="T21" s="2880"/>
      <c r="U21" s="2880"/>
      <c r="V21" s="2880"/>
      <c r="X21" s="2854">
        <f>ROUND(SUMPRODUCT(PRODUCT(1+N21:N$35)),4)</f>
        <v>1.4274</v>
      </c>
      <c r="Y21" s="2854">
        <f>ROUND(SUMPRODUCT(PRODUCT(1+O21:O$35)),4)</f>
        <v>1.2685</v>
      </c>
      <c r="Z21" s="2854">
        <f t="shared" si="0"/>
        <v>1.2685</v>
      </c>
      <c r="AA21" s="2854">
        <f>ROUND(SUMPRODUCT(PRODUCT(1+P21:P$35)),4)</f>
        <v>1.4825999999999999</v>
      </c>
      <c r="AB21" s="2854">
        <f>ROUND(SUMPRODUCT(PRODUCT(1+Q21:Q$35)),4)</f>
        <v>1.2309000000000001</v>
      </c>
      <c r="AD21" s="2855">
        <f>ROUND(AVERAGE(I21:I$36)/100,4)</f>
        <v>2.4500000000000001E-2</v>
      </c>
      <c r="AE21" s="2855">
        <f>ROUND(AVERAGE(J21:J$36)/100,4)</f>
        <v>1.6500000000000001E-2</v>
      </c>
      <c r="AF21" s="2855">
        <f t="shared" si="1"/>
        <v>1.6500000000000001E-2</v>
      </c>
      <c r="AG21" s="2855">
        <f>ROUND(AVERAGE(K21:K$36)/100,4)</f>
        <v>2.7099999999999999E-2</v>
      </c>
      <c r="AH21" s="2855">
        <f>ROUND(AVERAGE(L21:L$36)/100,4)</f>
        <v>1.3899999999999999E-2</v>
      </c>
    </row>
    <row r="22" spans="1:34" s="2873" customFormat="1" ht="14.45" customHeight="1">
      <c r="A22" s="2866" t="s">
        <v>2911</v>
      </c>
      <c r="B22" s="2867">
        <f t="shared" ref="B22:C24" si="176">B23*(1+N22)</f>
        <v>431.80730811680002</v>
      </c>
      <c r="C22" s="2867">
        <f t="shared" si="176"/>
        <v>320.57880516480003</v>
      </c>
      <c r="D22" s="2867">
        <f t="shared" si="164"/>
        <v>320.57880516480003</v>
      </c>
      <c r="E22" s="2867">
        <f t="shared" ref="E22:F24" si="177">E23*(1+P22)</f>
        <v>615.96110553196797</v>
      </c>
      <c r="F22" s="2867">
        <f t="shared" si="177"/>
        <v>279.46777300108801</v>
      </c>
      <c r="G22" s="3586"/>
      <c r="H22" s="2868">
        <v>3</v>
      </c>
      <c r="I22" s="2868">
        <v>2.98</v>
      </c>
      <c r="J22" s="2868">
        <v>2.11</v>
      </c>
      <c r="K22" s="2868">
        <v>3.24</v>
      </c>
      <c r="L22" s="2874">
        <v>1.72</v>
      </c>
      <c r="M22" s="2854"/>
      <c r="N22" s="2869">
        <f t="shared" si="167"/>
        <v>2.98E-2</v>
      </c>
      <c r="O22" s="2887">
        <f t="shared" ref="O22:O23" si="178">J22/100</f>
        <v>2.1099999999999997E-2</v>
      </c>
      <c r="P22" s="2887">
        <f t="shared" ref="P22:P23" si="179">K22/100</f>
        <v>3.2400000000000005E-2</v>
      </c>
      <c r="Q22" s="2887">
        <f t="shared" ref="Q22:Q23" si="180">L22/100</f>
        <v>1.72E-2</v>
      </c>
      <c r="R22" s="2870"/>
      <c r="S22" s="2869"/>
      <c r="T22" s="2855"/>
      <c r="U22" s="2855"/>
      <c r="V22" s="2855"/>
      <c r="W22" s="2854"/>
      <c r="X22" s="2854">
        <f>ROUND(SUMPRODUCT(PRODUCT(1+N22:N$35)),4)</f>
        <v>1.4034</v>
      </c>
      <c r="Y22" s="2854">
        <f>ROUND(SUMPRODUCT(PRODUCT(1+O22:O$35)),4)</f>
        <v>1.2463</v>
      </c>
      <c r="Z22" s="2854">
        <f t="shared" si="0"/>
        <v>1.2463</v>
      </c>
      <c r="AA22" s="2854">
        <f>ROUND(SUMPRODUCT(PRODUCT(1+P22:P$35)),4)</f>
        <v>1.4577</v>
      </c>
      <c r="AB22" s="2854">
        <f>ROUND(SUMPRODUCT(PRODUCT(1+Q22:Q$35)),4)</f>
        <v>1.2136</v>
      </c>
      <c r="AC22" s="2854"/>
      <c r="AD22" s="2855">
        <f>ROUND(AVERAGE(I22:I$36)/100,4)</f>
        <v>2.4899999999999999E-2</v>
      </c>
      <c r="AE22" s="2855">
        <f>ROUND(AVERAGE(J22:J$36)/100,4)</f>
        <v>1.6400000000000001E-2</v>
      </c>
      <c r="AF22" s="2855">
        <f t="shared" si="1"/>
        <v>1.6400000000000001E-2</v>
      </c>
      <c r="AG22" s="2855">
        <f>ROUND(AVERAGE(K22:K$36)/100,4)</f>
        <v>2.7799999999999998E-2</v>
      </c>
      <c r="AH22" s="2855">
        <f>ROUND(AVERAGE(L22:L$36)/100,4)</f>
        <v>1.3899999999999999E-2</v>
      </c>
    </row>
    <row r="23" spans="1:34" s="2832" customFormat="1" ht="14.45" customHeight="1">
      <c r="A23" s="2866" t="s">
        <v>2541</v>
      </c>
      <c r="B23" s="2867">
        <f t="shared" si="176"/>
        <v>419.31181600000002</v>
      </c>
      <c r="C23" s="2867">
        <f t="shared" si="176"/>
        <v>313.95436800000004</v>
      </c>
      <c r="D23" s="2867">
        <f t="shared" si="164"/>
        <v>313.95436800000004</v>
      </c>
      <c r="E23" s="2867">
        <f t="shared" si="177"/>
        <v>596.63028431999999</v>
      </c>
      <c r="F23" s="2867">
        <f t="shared" si="177"/>
        <v>274.74220703999998</v>
      </c>
      <c r="G23" s="3586"/>
      <c r="H23" s="2881">
        <v>2</v>
      </c>
      <c r="I23" s="2881">
        <v>3.4</v>
      </c>
      <c r="J23" s="2881">
        <v>2</v>
      </c>
      <c r="K23" s="2881">
        <v>3.82</v>
      </c>
      <c r="L23" s="2882">
        <v>1.68</v>
      </c>
      <c r="N23" s="2869">
        <f t="shared" si="167"/>
        <v>3.4000000000000002E-2</v>
      </c>
      <c r="O23" s="2887">
        <f t="shared" si="178"/>
        <v>0.02</v>
      </c>
      <c r="P23" s="2887">
        <f t="shared" si="179"/>
        <v>3.8199999999999998E-2</v>
      </c>
      <c r="Q23" s="2887">
        <f t="shared" si="180"/>
        <v>1.6799999999999999E-2</v>
      </c>
      <c r="S23" s="2869"/>
      <c r="T23" s="2855"/>
      <c r="U23" s="2855"/>
      <c r="V23" s="2855"/>
      <c r="X23" s="2854">
        <f>ROUND(SUMPRODUCT(PRODUCT(1+N23:N$35)),4)</f>
        <v>1.3628</v>
      </c>
      <c r="Y23" s="2854">
        <f>ROUND(SUMPRODUCT(PRODUCT(1+O23:O$35)),4)</f>
        <v>1.2205999999999999</v>
      </c>
      <c r="Z23" s="2854">
        <f t="shared" si="0"/>
        <v>1.2205999999999999</v>
      </c>
      <c r="AA23" s="2854">
        <f>ROUND(SUMPRODUCT(PRODUCT(1+P23:P$35)),4)</f>
        <v>1.4118999999999999</v>
      </c>
      <c r="AB23" s="2854">
        <f>ROUND(SUMPRODUCT(PRODUCT(1+Q23:Q$35)),4)</f>
        <v>1.1930000000000001</v>
      </c>
      <c r="AD23" s="2855">
        <f>ROUND(AVERAGE(I23:I$36)/100,4)</f>
        <v>2.46E-2</v>
      </c>
      <c r="AE23" s="2855">
        <f>ROUND(AVERAGE(J23:J$36)/100,4)</f>
        <v>1.6E-2</v>
      </c>
      <c r="AF23" s="2855">
        <f t="shared" si="1"/>
        <v>1.6E-2</v>
      </c>
      <c r="AG23" s="2855">
        <f>ROUND(AVERAGE(K23:K$36)/100,4)</f>
        <v>2.75E-2</v>
      </c>
      <c r="AH23" s="2855">
        <f>ROUND(AVERAGE(L23:L$36)/100,4)</f>
        <v>1.37E-2</v>
      </c>
    </row>
    <row r="24" spans="1:34" s="2873" customFormat="1" ht="15" customHeight="1" thickBot="1">
      <c r="A24" s="2866" t="s">
        <v>2542</v>
      </c>
      <c r="B24" s="2867">
        <f t="shared" si="176"/>
        <v>405.524</v>
      </c>
      <c r="C24" s="2867">
        <f t="shared" si="176"/>
        <v>307.79840000000002</v>
      </c>
      <c r="D24" s="2867">
        <f t="shared" si="164"/>
        <v>307.79840000000002</v>
      </c>
      <c r="E24" s="2867">
        <f t="shared" si="177"/>
        <v>574.67759999999998</v>
      </c>
      <c r="F24" s="2867">
        <f t="shared" si="177"/>
        <v>270.20280000000002</v>
      </c>
      <c r="G24" s="3587"/>
      <c r="H24" s="2868">
        <v>1</v>
      </c>
      <c r="I24" s="2868">
        <v>3.45</v>
      </c>
      <c r="J24" s="2868">
        <v>1.92</v>
      </c>
      <c r="K24" s="2868">
        <v>3.92</v>
      </c>
      <c r="L24" s="2874">
        <v>1.58</v>
      </c>
      <c r="M24" s="2854"/>
      <c r="N24" s="2871">
        <f t="shared" si="167"/>
        <v>3.4500000000000003E-2</v>
      </c>
      <c r="O24" s="2872">
        <f t="shared" ref="O24" si="181">J24/100</f>
        <v>1.9199999999999998E-2</v>
      </c>
      <c r="P24" s="2872">
        <f t="shared" ref="P24" si="182">K24/100</f>
        <v>3.9199999999999999E-2</v>
      </c>
      <c r="Q24" s="2872">
        <f t="shared" ref="Q24" si="183">L24/100</f>
        <v>1.5800000000000002E-2</v>
      </c>
      <c r="R24" s="2870"/>
      <c r="S24" s="2871">
        <f>B24/B25-1</f>
        <v>3.4499999999999975E-2</v>
      </c>
      <c r="T24" s="2872">
        <f>C24/C25-1</f>
        <v>1.9200000000000106E-2</v>
      </c>
      <c r="U24" s="2872">
        <f>E24/E25-1</f>
        <v>3.9199999999999902E-2</v>
      </c>
      <c r="V24" s="2872">
        <f>F24/F25-1</f>
        <v>1.5800000000000036E-2</v>
      </c>
      <c r="W24" s="2854"/>
      <c r="X24" s="2854">
        <f>ROUND(SUMPRODUCT(PRODUCT(1+N24:N$35)),4)</f>
        <v>1.3180000000000001</v>
      </c>
      <c r="Y24" s="2854">
        <f>ROUND(SUMPRODUCT(PRODUCT(1+O24:O$35)),4)</f>
        <v>1.1966000000000001</v>
      </c>
      <c r="Z24" s="2854">
        <f t="shared" si="0"/>
        <v>1.1966000000000001</v>
      </c>
      <c r="AA24" s="2854">
        <f>ROUND(SUMPRODUCT(PRODUCT(1+P24:P$35)),4)</f>
        <v>1.36</v>
      </c>
      <c r="AB24" s="2854">
        <f>ROUND(SUMPRODUCT(PRODUCT(1+Q24:Q$35)),4)</f>
        <v>1.1733</v>
      </c>
      <c r="AC24" s="2854"/>
      <c r="AD24" s="2855">
        <f>ROUND(AVERAGE(I24:I$36)/100,4)</f>
        <v>2.3900000000000001E-2</v>
      </c>
      <c r="AE24" s="2855">
        <f>ROUND(AVERAGE(J24:J$36)/100,4)</f>
        <v>1.5699999999999999E-2</v>
      </c>
      <c r="AF24" s="2855">
        <f t="shared" si="1"/>
        <v>1.5699999999999999E-2</v>
      </c>
      <c r="AG24" s="2855">
        <f>ROUND(AVERAGE(K24:K$36)/100,4)</f>
        <v>2.6599999999999999E-2</v>
      </c>
      <c r="AH24" s="2855">
        <f>ROUND(AVERAGE(L24:L$36)/100,4)</f>
        <v>1.34E-2</v>
      </c>
    </row>
    <row r="25" spans="1:34">
      <c r="A25" s="2866" t="s">
        <v>950</v>
      </c>
      <c r="B25" s="2888">
        <v>392</v>
      </c>
      <c r="C25" s="2888">
        <v>302</v>
      </c>
      <c r="D25" s="2888">
        <f t="shared" si="164"/>
        <v>302</v>
      </c>
      <c r="E25" s="2888">
        <v>553</v>
      </c>
      <c r="F25" s="2889">
        <v>266</v>
      </c>
      <c r="G25" s="3585">
        <v>2016</v>
      </c>
      <c r="H25" s="2875">
        <v>4</v>
      </c>
      <c r="I25" s="2875">
        <v>4.5599999999999996</v>
      </c>
      <c r="J25" s="2875">
        <v>2.15</v>
      </c>
      <c r="K25" s="2875">
        <v>5.32</v>
      </c>
      <c r="L25" s="2876">
        <v>1.57</v>
      </c>
      <c r="N25" s="2869">
        <f t="shared" si="167"/>
        <v>4.5599999999999995E-2</v>
      </c>
      <c r="O25" s="2855">
        <f t="shared" ref="O25:Q40" si="184">J25/100</f>
        <v>2.1499999999999998E-2</v>
      </c>
      <c r="P25" s="2855">
        <f t="shared" si="184"/>
        <v>5.3200000000000004E-2</v>
      </c>
      <c r="Q25" s="2855">
        <f t="shared" si="184"/>
        <v>1.5700000000000002E-2</v>
      </c>
      <c r="R25" s="2870"/>
      <c r="S25" s="2879"/>
      <c r="T25" s="2880"/>
      <c r="U25" s="2880"/>
      <c r="V25" s="2880"/>
      <c r="X25" s="2854">
        <f>ROUND(SUMPRODUCT(PRODUCT(1+N25:N$35)),4)</f>
        <v>1.274</v>
      </c>
      <c r="Y25" s="2854">
        <f>ROUND(SUMPRODUCT(PRODUCT(1+O25:O$35)),4)</f>
        <v>1.1740999999999999</v>
      </c>
      <c r="Z25" s="2854">
        <f t="shared" si="0"/>
        <v>1.1740999999999999</v>
      </c>
      <c r="AA25" s="2854">
        <f>ROUND(SUMPRODUCT(PRODUCT(1+P25:P$35)),4)</f>
        <v>1.3087</v>
      </c>
      <c r="AB25" s="2854">
        <f>ROUND(SUMPRODUCT(PRODUCT(1+Q25:Q$35)),4)</f>
        <v>1.1551</v>
      </c>
      <c r="AD25" s="2855">
        <f>ROUND(AVERAGE(I25:I$36)/100,4)</f>
        <v>2.3E-2</v>
      </c>
      <c r="AE25" s="2855">
        <f>ROUND(AVERAGE(J25:J$36)/100,4)</f>
        <v>1.55E-2</v>
      </c>
      <c r="AF25" s="2855">
        <f t="shared" si="1"/>
        <v>1.55E-2</v>
      </c>
      <c r="AG25" s="2855">
        <f>ROUND(AVERAGE(K25:K$36)/100,4)</f>
        <v>2.5600000000000001E-2</v>
      </c>
      <c r="AH25" s="2855">
        <f>ROUND(AVERAGE(L25:L$36)/100,4)</f>
        <v>1.32E-2</v>
      </c>
    </row>
    <row r="26" spans="1:34">
      <c r="A26" s="2866" t="s">
        <v>949</v>
      </c>
      <c r="B26" s="2867">
        <f t="shared" ref="B26:C28" si="185">B25/(1+N25)</f>
        <v>374.90436113236416</v>
      </c>
      <c r="C26" s="2867">
        <f t="shared" si="185"/>
        <v>295.64366128242779</v>
      </c>
      <c r="D26" s="2867">
        <f t="shared" ref="D26:D85" si="186">C26</f>
        <v>295.64366128242779</v>
      </c>
      <c r="E26" s="2867">
        <f t="shared" ref="E26:F28" si="187">E25/(1+P25)</f>
        <v>525.06646410938095</v>
      </c>
      <c r="F26" s="2867">
        <f t="shared" si="187"/>
        <v>261.88835286009646</v>
      </c>
      <c r="G26" s="3586"/>
      <c r="H26" s="2868">
        <v>3</v>
      </c>
      <c r="I26" s="2868">
        <v>4.12</v>
      </c>
      <c r="J26" s="2868">
        <v>2</v>
      </c>
      <c r="K26" s="2868">
        <v>4.79</v>
      </c>
      <c r="L26" s="2874">
        <v>1.97</v>
      </c>
      <c r="N26" s="2869">
        <f t="shared" ref="N26:Q60" si="188">I26/100</f>
        <v>4.1200000000000001E-2</v>
      </c>
      <c r="O26" s="2855">
        <f t="shared" si="184"/>
        <v>0.02</v>
      </c>
      <c r="P26" s="2855">
        <f t="shared" si="184"/>
        <v>4.7899999999999998E-2</v>
      </c>
      <c r="Q26" s="2855">
        <f t="shared" si="184"/>
        <v>1.9699999999999999E-2</v>
      </c>
      <c r="R26" s="2870"/>
      <c r="S26" s="2869"/>
      <c r="T26" s="2855"/>
      <c r="U26" s="2855"/>
      <c r="V26" s="2855"/>
      <c r="X26" s="2854">
        <f>ROUND(SUMPRODUCT(PRODUCT(1+N26:N$35)),4)</f>
        <v>1.2184999999999999</v>
      </c>
      <c r="Y26" s="2854">
        <f>ROUND(SUMPRODUCT(PRODUCT(1+O26:O$35)),4)</f>
        <v>1.1494</v>
      </c>
      <c r="Z26" s="2854">
        <f t="shared" si="0"/>
        <v>1.1494</v>
      </c>
      <c r="AA26" s="2854">
        <f>ROUND(SUMPRODUCT(PRODUCT(1+P26:P$35)),4)</f>
        <v>1.2425999999999999</v>
      </c>
      <c r="AB26" s="2854">
        <f>ROUND(SUMPRODUCT(PRODUCT(1+Q26:Q$35)),4)</f>
        <v>1.1372</v>
      </c>
      <c r="AD26" s="2855">
        <f>ROUND(AVERAGE(I26:I$36)/100,4)</f>
        <v>2.0899999999999998E-2</v>
      </c>
      <c r="AE26" s="2855">
        <f>ROUND(AVERAGE(J26:J$36)/100,4)</f>
        <v>1.49E-2</v>
      </c>
      <c r="AF26" s="2855">
        <f t="shared" si="1"/>
        <v>1.49E-2</v>
      </c>
      <c r="AG26" s="2855">
        <f>ROUND(AVERAGE(K26:K$36)/100,4)</f>
        <v>2.3099999999999999E-2</v>
      </c>
      <c r="AH26" s="2855">
        <f>ROUND(AVERAGE(L26:L$36)/100,4)</f>
        <v>1.2999999999999999E-2</v>
      </c>
    </row>
    <row r="27" spans="1:34">
      <c r="A27" s="2866" t="s">
        <v>939</v>
      </c>
      <c r="B27" s="2867">
        <f t="shared" si="185"/>
        <v>360.06949782209392</v>
      </c>
      <c r="C27" s="2867">
        <f t="shared" si="185"/>
        <v>289.84672674747821</v>
      </c>
      <c r="D27" s="2867">
        <f t="shared" si="186"/>
        <v>289.84672674747821</v>
      </c>
      <c r="E27" s="2867">
        <f t="shared" si="187"/>
        <v>501.06543001181495</v>
      </c>
      <c r="F27" s="2867">
        <f t="shared" si="187"/>
        <v>256.82882500744967</v>
      </c>
      <c r="G27" s="3586"/>
      <c r="H27" s="2881">
        <v>2</v>
      </c>
      <c r="I27" s="2881">
        <v>3.85</v>
      </c>
      <c r="J27" s="2881">
        <v>1.95</v>
      </c>
      <c r="K27" s="2881">
        <v>4.4800000000000004</v>
      </c>
      <c r="L27" s="2882">
        <v>1.41</v>
      </c>
      <c r="N27" s="2869">
        <f t="shared" si="188"/>
        <v>3.85E-2</v>
      </c>
      <c r="O27" s="2855">
        <f t="shared" si="184"/>
        <v>1.95E-2</v>
      </c>
      <c r="P27" s="2855">
        <f t="shared" si="184"/>
        <v>4.4800000000000006E-2</v>
      </c>
      <c r="Q27" s="2855">
        <f t="shared" si="184"/>
        <v>1.41E-2</v>
      </c>
      <c r="R27" s="2870"/>
      <c r="S27" s="2869"/>
      <c r="T27" s="2855"/>
      <c r="U27" s="2855"/>
      <c r="V27" s="2855"/>
      <c r="X27" s="2854">
        <f>ROUND(SUMPRODUCT(PRODUCT(1+N27:N$35)),4)</f>
        <v>1.1702999999999999</v>
      </c>
      <c r="Y27" s="2854">
        <f>ROUND(SUMPRODUCT(PRODUCT(1+O27:O$35)),4)</f>
        <v>1.1269</v>
      </c>
      <c r="Z27" s="2854">
        <f t="shared" si="0"/>
        <v>1.1269</v>
      </c>
      <c r="AA27" s="2854">
        <f>ROUND(SUMPRODUCT(PRODUCT(1+P27:P$35)),4)</f>
        <v>1.1858</v>
      </c>
      <c r="AB27" s="2854">
        <f>ROUND(SUMPRODUCT(PRODUCT(1+Q27:Q$35)),4)</f>
        <v>1.1152</v>
      </c>
      <c r="AD27" s="2855">
        <f>ROUND(AVERAGE(I27:I$36)/100,4)</f>
        <v>1.89E-2</v>
      </c>
      <c r="AE27" s="2855">
        <f>ROUND(AVERAGE(J27:J$36)/100,4)</f>
        <v>1.44E-2</v>
      </c>
      <c r="AF27" s="2855">
        <f t="shared" si="1"/>
        <v>1.44E-2</v>
      </c>
      <c r="AG27" s="2855">
        <f>ROUND(AVERAGE(K27:K$36)/100,4)</f>
        <v>2.06E-2</v>
      </c>
      <c r="AH27" s="2855">
        <f>ROUND(AVERAGE(L27:L$36)/100,4)</f>
        <v>1.23E-2</v>
      </c>
    </row>
    <row r="28" spans="1:34" ht="13.5" thickBot="1">
      <c r="A28" s="2866" t="s">
        <v>948</v>
      </c>
      <c r="B28" s="2867">
        <f t="shared" si="185"/>
        <v>346.720748986128</v>
      </c>
      <c r="C28" s="2867">
        <f t="shared" si="185"/>
        <v>284.30282172386285</v>
      </c>
      <c r="D28" s="2867">
        <f t="shared" si="186"/>
        <v>284.30282172386285</v>
      </c>
      <c r="E28" s="2867">
        <f t="shared" si="187"/>
        <v>479.58023546306947</v>
      </c>
      <c r="F28" s="2867">
        <f t="shared" si="187"/>
        <v>253.25788877571213</v>
      </c>
      <c r="G28" s="3589"/>
      <c r="H28" s="2868">
        <v>1</v>
      </c>
      <c r="I28" s="2868">
        <v>4.09</v>
      </c>
      <c r="J28" s="2868">
        <v>2.93</v>
      </c>
      <c r="K28" s="2868">
        <v>4.54</v>
      </c>
      <c r="L28" s="2874">
        <v>1.48</v>
      </c>
      <c r="N28" s="2869">
        <f t="shared" si="188"/>
        <v>4.0899999999999999E-2</v>
      </c>
      <c r="O28" s="2855">
        <f t="shared" si="184"/>
        <v>2.9300000000000003E-2</v>
      </c>
      <c r="P28" s="2855">
        <f t="shared" si="184"/>
        <v>4.5400000000000003E-2</v>
      </c>
      <c r="Q28" s="2855">
        <f t="shared" si="184"/>
        <v>1.4800000000000001E-2</v>
      </c>
      <c r="R28" s="2870"/>
      <c r="S28" s="2871">
        <f>B28/B29-1</f>
        <v>4.1203450408792808E-2</v>
      </c>
      <c r="T28" s="2872">
        <f>C28/C29-1</f>
        <v>2.6363977342465095E-2</v>
      </c>
      <c r="U28" s="2872">
        <f>E28/E29-1</f>
        <v>4.4837114298626357E-2</v>
      </c>
      <c r="V28" s="2872">
        <f>F28/F29-1</f>
        <v>1.7099954922538574E-2</v>
      </c>
      <c r="X28" s="2854">
        <f>ROUND(SUMPRODUCT(PRODUCT(1+N28:N$35)),4)</f>
        <v>1.1269</v>
      </c>
      <c r="Y28" s="2854">
        <f>ROUND(SUMPRODUCT(PRODUCT(1+O28:O$35)),4)</f>
        <v>1.1052999999999999</v>
      </c>
      <c r="Z28" s="2854">
        <f t="shared" si="0"/>
        <v>1.1052999999999999</v>
      </c>
      <c r="AA28" s="2854">
        <f>ROUND(SUMPRODUCT(PRODUCT(1+P28:P$35)),4)</f>
        <v>1.1349</v>
      </c>
      <c r="AB28" s="2854">
        <f>ROUND(SUMPRODUCT(PRODUCT(1+Q28:Q$35)),4)</f>
        <v>1.0996999999999999</v>
      </c>
      <c r="AD28" s="2855">
        <f>ROUND(AVERAGE(I28:I$36)/100,4)</f>
        <v>1.67E-2</v>
      </c>
      <c r="AE28" s="2855">
        <f>ROUND(AVERAGE(J28:J$36)/100,4)</f>
        <v>1.38E-2</v>
      </c>
      <c r="AF28" s="2855">
        <f t="shared" si="1"/>
        <v>1.38E-2</v>
      </c>
      <c r="AG28" s="2855">
        <f>ROUND(AVERAGE(K28:K$36)/100,4)</f>
        <v>1.7899999999999999E-2</v>
      </c>
      <c r="AH28" s="2855">
        <f>ROUND(AVERAGE(L28:L$36)/100,4)</f>
        <v>1.21E-2</v>
      </c>
    </row>
    <row r="29" spans="1:34" ht="13.5" thickBot="1">
      <c r="A29" s="2866" t="s">
        <v>947</v>
      </c>
      <c r="B29" s="2888">
        <v>333</v>
      </c>
      <c r="C29" s="2888">
        <v>277</v>
      </c>
      <c r="D29" s="2888">
        <f t="shared" si="186"/>
        <v>277</v>
      </c>
      <c r="E29" s="2888">
        <v>459</v>
      </c>
      <c r="F29" s="2889">
        <v>249</v>
      </c>
      <c r="G29" s="3588">
        <v>2015</v>
      </c>
      <c r="H29" s="2890">
        <v>4</v>
      </c>
      <c r="I29" s="2890">
        <v>1.63</v>
      </c>
      <c r="J29" s="2890">
        <v>1.1100000000000001</v>
      </c>
      <c r="K29" s="2890">
        <v>1.77</v>
      </c>
      <c r="L29" s="2891">
        <v>1.89</v>
      </c>
      <c r="N29" s="2885">
        <f t="shared" si="188"/>
        <v>1.6299999999999999E-2</v>
      </c>
      <c r="O29" s="2886">
        <f t="shared" si="184"/>
        <v>1.11E-2</v>
      </c>
      <c r="P29" s="2886">
        <f t="shared" si="184"/>
        <v>1.77E-2</v>
      </c>
      <c r="Q29" s="2886">
        <f t="shared" si="184"/>
        <v>1.89E-2</v>
      </c>
      <c r="R29" s="2870"/>
      <c r="X29" s="2854">
        <f>ROUND(SUMPRODUCT(PRODUCT(1+N29:N$35)),4)</f>
        <v>1.0826</v>
      </c>
      <c r="Y29" s="2854">
        <f>ROUND(SUMPRODUCT(PRODUCT(1+O29:O$35)),4)</f>
        <v>1.0738000000000001</v>
      </c>
      <c r="Z29" s="2854">
        <f t="shared" si="0"/>
        <v>1.0738000000000001</v>
      </c>
      <c r="AA29" s="2854">
        <f>ROUND(SUMPRODUCT(PRODUCT(1+P29:P$35)),4)</f>
        <v>1.0855999999999999</v>
      </c>
      <c r="AB29" s="2854">
        <f>ROUND(SUMPRODUCT(PRODUCT(1+Q29:Q$35)),4)</f>
        <v>1.0837000000000001</v>
      </c>
      <c r="AD29" s="2855">
        <f>ROUND(AVERAGE(I29:I$36)/100,4)</f>
        <v>1.37E-2</v>
      </c>
      <c r="AE29" s="2855">
        <f>ROUND(AVERAGE(J29:J$36)/100,4)</f>
        <v>1.1900000000000001E-2</v>
      </c>
      <c r="AF29" s="2855">
        <f t="shared" si="1"/>
        <v>1.1900000000000001E-2</v>
      </c>
      <c r="AG29" s="2855">
        <f>ROUND(AVERAGE(K29:K$36)/100,4)</f>
        <v>1.4500000000000001E-2</v>
      </c>
      <c r="AH29" s="2855">
        <f>ROUND(AVERAGE(L29:L$36)/100,4)</f>
        <v>1.18E-2</v>
      </c>
    </row>
    <row r="30" spans="1:34">
      <c r="A30" s="2866" t="s">
        <v>946</v>
      </c>
      <c r="B30" s="2867">
        <f t="shared" ref="B30:C32" si="189">B29/(1+N29)</f>
        <v>327.65915576109415</v>
      </c>
      <c r="C30" s="2867">
        <f t="shared" si="189"/>
        <v>273.95905449510434</v>
      </c>
      <c r="D30" s="2867">
        <f t="shared" si="186"/>
        <v>273.95905449510434</v>
      </c>
      <c r="E30" s="2867">
        <f t="shared" ref="E30:F32" si="190">E29/(1+P29)</f>
        <v>451.01699911565294</v>
      </c>
      <c r="F30" s="2867">
        <f t="shared" si="190"/>
        <v>244.38119540681129</v>
      </c>
      <c r="G30" s="3586"/>
      <c r="H30" s="2893">
        <v>3</v>
      </c>
      <c r="I30" s="2893">
        <v>1.65</v>
      </c>
      <c r="J30" s="2893">
        <v>0.92</v>
      </c>
      <c r="K30" s="2893">
        <v>1.88</v>
      </c>
      <c r="L30" s="2894">
        <v>1.26</v>
      </c>
      <c r="N30" s="2869">
        <f t="shared" si="188"/>
        <v>1.6500000000000001E-2</v>
      </c>
      <c r="O30" s="2887">
        <f t="shared" si="184"/>
        <v>9.1999999999999998E-3</v>
      </c>
      <c r="P30" s="2887">
        <f t="shared" si="184"/>
        <v>1.8799999999999997E-2</v>
      </c>
      <c r="Q30" s="2887">
        <f t="shared" si="184"/>
        <v>1.26E-2</v>
      </c>
      <c r="R30" s="2870"/>
      <c r="S30" s="2869"/>
      <c r="T30" s="2855"/>
      <c r="U30" s="2855"/>
      <c r="V30" s="2855"/>
      <c r="X30" s="2854">
        <f>ROUND(SUMPRODUCT(PRODUCT(1+N30:N$35)),4)</f>
        <v>1.0651999999999999</v>
      </c>
      <c r="Y30" s="2854">
        <f>ROUND(SUMPRODUCT(PRODUCT(1+O30:O$35)),4)</f>
        <v>1.0621</v>
      </c>
      <c r="Z30" s="2854">
        <f t="shared" si="0"/>
        <v>1.0621</v>
      </c>
      <c r="AA30" s="2854">
        <f>ROUND(SUMPRODUCT(PRODUCT(1+P30:P$35)),4)</f>
        <v>1.0668</v>
      </c>
      <c r="AB30" s="2854">
        <f>ROUND(SUMPRODUCT(PRODUCT(1+Q30:Q$35)),4)</f>
        <v>1.0636000000000001</v>
      </c>
      <c r="AD30" s="2855">
        <f>ROUND(AVERAGE(I30:I$36)/100,4)</f>
        <v>1.3299999999999999E-2</v>
      </c>
      <c r="AE30" s="2855">
        <f>ROUND(AVERAGE(J30:J$36)/100,4)</f>
        <v>1.2E-2</v>
      </c>
      <c r="AF30" s="2855">
        <f t="shared" si="1"/>
        <v>1.2E-2</v>
      </c>
      <c r="AG30" s="2855">
        <f>ROUND(AVERAGE(K30:K$36)/100,4)</f>
        <v>1.4E-2</v>
      </c>
      <c r="AH30" s="2855">
        <f>ROUND(AVERAGE(L30:L$36)/100,4)</f>
        <v>1.0800000000000001E-2</v>
      </c>
    </row>
    <row r="31" spans="1:34">
      <c r="A31" s="2866" t="s">
        <v>945</v>
      </c>
      <c r="B31" s="2867">
        <f t="shared" si="189"/>
        <v>322.34053690220776</v>
      </c>
      <c r="C31" s="2867">
        <f t="shared" si="189"/>
        <v>271.46160770422546</v>
      </c>
      <c r="D31" s="2867">
        <f t="shared" si="186"/>
        <v>271.46160770422546</v>
      </c>
      <c r="E31" s="2867">
        <f t="shared" si="190"/>
        <v>442.69434542172456</v>
      </c>
      <c r="F31" s="2867">
        <f t="shared" si="190"/>
        <v>241.34030753190925</v>
      </c>
      <c r="G31" s="3586"/>
      <c r="H31" s="2881">
        <v>2</v>
      </c>
      <c r="I31" s="2881">
        <v>0.77</v>
      </c>
      <c r="J31" s="2881">
        <v>0.69</v>
      </c>
      <c r="K31" s="2881">
        <v>0.8</v>
      </c>
      <c r="L31" s="2882">
        <v>0.88</v>
      </c>
      <c r="N31" s="2869">
        <f t="shared" si="188"/>
        <v>7.7000000000000002E-3</v>
      </c>
      <c r="O31" s="2887">
        <f t="shared" si="184"/>
        <v>6.8999999999999999E-3</v>
      </c>
      <c r="P31" s="2887">
        <f t="shared" si="184"/>
        <v>8.0000000000000002E-3</v>
      </c>
      <c r="Q31" s="2887">
        <f t="shared" si="184"/>
        <v>8.8000000000000005E-3</v>
      </c>
      <c r="R31" s="2870"/>
      <c r="S31" s="2869"/>
      <c r="T31" s="2855"/>
      <c r="U31" s="2855"/>
      <c r="V31" s="2855"/>
      <c r="X31" s="2854">
        <f>ROUND(SUMPRODUCT(PRODUCT(1+N31:N$35)),4)</f>
        <v>1.048</v>
      </c>
      <c r="Y31" s="2854">
        <f>ROUND(SUMPRODUCT(PRODUCT(1+O31:O$35)),4)</f>
        <v>1.0524</v>
      </c>
      <c r="Z31" s="2854">
        <f t="shared" si="0"/>
        <v>1.0524</v>
      </c>
      <c r="AA31" s="2854">
        <f>ROUND(SUMPRODUCT(PRODUCT(1+P31:P$35)),4)</f>
        <v>1.0470999999999999</v>
      </c>
      <c r="AB31" s="2854">
        <f>ROUND(SUMPRODUCT(PRODUCT(1+Q31:Q$35)),4)</f>
        <v>1.0504</v>
      </c>
      <c r="AD31" s="2855">
        <f>ROUND(AVERAGE(I31:I$36)/100,4)</f>
        <v>1.2800000000000001E-2</v>
      </c>
      <c r="AE31" s="2855">
        <f>ROUND(AVERAGE(J31:J$36)/100,4)</f>
        <v>1.2500000000000001E-2</v>
      </c>
      <c r="AF31" s="2855">
        <f t="shared" si="1"/>
        <v>1.2500000000000001E-2</v>
      </c>
      <c r="AG31" s="2855">
        <f>ROUND(AVERAGE(K31:K$36)/100,4)</f>
        <v>1.32E-2</v>
      </c>
      <c r="AH31" s="2855">
        <f>ROUND(AVERAGE(L31:L$36)/100,4)</f>
        <v>1.0500000000000001E-2</v>
      </c>
    </row>
    <row r="32" spans="1:34">
      <c r="A32" s="2866" t="s">
        <v>944</v>
      </c>
      <c r="B32" s="2867">
        <f t="shared" si="189"/>
        <v>319.87748030386797</v>
      </c>
      <c r="C32" s="2867">
        <f t="shared" si="189"/>
        <v>269.60135833173649</v>
      </c>
      <c r="D32" s="2867">
        <f t="shared" si="186"/>
        <v>269.60135833173649</v>
      </c>
      <c r="E32" s="2867">
        <f t="shared" si="190"/>
        <v>439.18089823583784</v>
      </c>
      <c r="F32" s="2867">
        <f t="shared" si="190"/>
        <v>239.23503918706311</v>
      </c>
      <c r="G32" s="3589"/>
      <c r="H32" s="2868">
        <v>1</v>
      </c>
      <c r="I32" s="2868">
        <v>0.51</v>
      </c>
      <c r="J32" s="2868">
        <v>0.54</v>
      </c>
      <c r="K32" s="2868">
        <v>0.48</v>
      </c>
      <c r="L32" s="2874">
        <v>0.93</v>
      </c>
      <c r="N32" s="2871">
        <f t="shared" si="188"/>
        <v>5.1000000000000004E-3</v>
      </c>
      <c r="O32" s="2872">
        <f t="shared" si="184"/>
        <v>5.4000000000000003E-3</v>
      </c>
      <c r="P32" s="2872">
        <f t="shared" si="184"/>
        <v>4.7999999999999996E-3</v>
      </c>
      <c r="Q32" s="2872">
        <f t="shared" si="184"/>
        <v>9.300000000000001E-3</v>
      </c>
      <c r="R32" s="2870"/>
      <c r="S32" s="2871">
        <f>B32/B33-1</f>
        <v>5.9040261127922822E-3</v>
      </c>
      <c r="T32" s="2872">
        <f>C32/C33-1</f>
        <v>5.9752176557332781E-3</v>
      </c>
      <c r="U32" s="2872">
        <f>E32/E33-1</f>
        <v>4.9906138119859556E-3</v>
      </c>
      <c r="V32" s="2872">
        <f>F32/F33-1</f>
        <v>9.4305450930933787E-3</v>
      </c>
      <c r="X32" s="2854">
        <f>ROUND(SUMPRODUCT(PRODUCT(1+N32:N$35)),4)</f>
        <v>1.0399</v>
      </c>
      <c r="Y32" s="2854">
        <f>ROUND(SUMPRODUCT(PRODUCT(1+O32:O$35)),4)</f>
        <v>1.0451999999999999</v>
      </c>
      <c r="Z32" s="2854">
        <f t="shared" si="0"/>
        <v>1.0451999999999999</v>
      </c>
      <c r="AA32" s="2854">
        <f>ROUND(SUMPRODUCT(PRODUCT(1+P32:P$35)),4)</f>
        <v>1.0387999999999999</v>
      </c>
      <c r="AB32" s="2854">
        <f>ROUND(SUMPRODUCT(PRODUCT(1+Q32:Q$35)),4)</f>
        <v>1.0411999999999999</v>
      </c>
      <c r="AD32" s="2855">
        <f>ROUND(AVERAGE(I32:I$36)/100,4)</f>
        <v>1.38E-2</v>
      </c>
      <c r="AE32" s="2855">
        <f>ROUND(AVERAGE(J32:J$36)/100,4)</f>
        <v>1.3599999999999999E-2</v>
      </c>
      <c r="AF32" s="2855">
        <f t="shared" si="1"/>
        <v>1.3599999999999999E-2</v>
      </c>
      <c r="AG32" s="2855">
        <f>ROUND(AVERAGE(K32:K$36)/100,4)</f>
        <v>1.4200000000000001E-2</v>
      </c>
      <c r="AH32" s="2855">
        <f>ROUND(AVERAGE(L32:L$36)/100,4)</f>
        <v>1.0800000000000001E-2</v>
      </c>
    </row>
    <row r="33" spans="1:34" ht="13.5" thickBot="1">
      <c r="A33" s="2866" t="s">
        <v>943</v>
      </c>
      <c r="B33" s="2895">
        <v>318</v>
      </c>
      <c r="C33" s="2895">
        <v>268</v>
      </c>
      <c r="D33" s="2895">
        <f t="shared" si="186"/>
        <v>268</v>
      </c>
      <c r="E33" s="2895">
        <v>437</v>
      </c>
      <c r="F33" s="2896">
        <v>237</v>
      </c>
      <c r="G33" s="3588">
        <v>2014</v>
      </c>
      <c r="H33" s="2890">
        <v>4</v>
      </c>
      <c r="I33" s="2890">
        <v>0.21</v>
      </c>
      <c r="J33" s="2890">
        <v>0.41</v>
      </c>
      <c r="K33" s="2890">
        <v>0.12</v>
      </c>
      <c r="L33" s="2891">
        <v>0.89</v>
      </c>
      <c r="N33" s="2869">
        <f t="shared" si="188"/>
        <v>2.0999999999999999E-3</v>
      </c>
      <c r="O33" s="2855">
        <f t="shared" si="184"/>
        <v>4.0999999999999995E-3</v>
      </c>
      <c r="P33" s="2855">
        <f t="shared" si="184"/>
        <v>1.1999999999999999E-3</v>
      </c>
      <c r="Q33" s="2855">
        <f t="shared" si="184"/>
        <v>8.8999999999999999E-3</v>
      </c>
      <c r="R33" s="2870"/>
      <c r="S33" s="2879"/>
      <c r="T33" s="2880"/>
      <c r="U33" s="2880"/>
      <c r="V33" s="2880"/>
      <c r="X33" s="2854">
        <f>ROUND(SUMPRODUCT(PRODUCT(1+N33:N$35)),4)</f>
        <v>1.0347</v>
      </c>
      <c r="Y33" s="2854">
        <f>ROUND(SUMPRODUCT(PRODUCT(1+O33:O$35)),4)</f>
        <v>1.0395000000000001</v>
      </c>
      <c r="Z33" s="2854">
        <f t="shared" si="0"/>
        <v>1.0395000000000001</v>
      </c>
      <c r="AA33" s="2854">
        <f>ROUND(SUMPRODUCT(PRODUCT(1+P33:P$35)),4)</f>
        <v>1.0338000000000001</v>
      </c>
      <c r="AB33" s="2854">
        <f>ROUND(SUMPRODUCT(PRODUCT(1+Q33:Q$35)),4)</f>
        <v>1.0316000000000001</v>
      </c>
      <c r="AD33" s="2855">
        <f>ROUND(AVERAGE(I33:I$36)/100,4)</f>
        <v>1.6E-2</v>
      </c>
      <c r="AE33" s="2855">
        <f>ROUND(AVERAGE(J33:J$36)/100,4)</f>
        <v>1.5599999999999999E-2</v>
      </c>
      <c r="AF33" s="2855">
        <f t="shared" si="1"/>
        <v>1.5599999999999999E-2</v>
      </c>
      <c r="AG33" s="2855">
        <f>ROUND(AVERAGE(K33:K$36)/100,4)</f>
        <v>1.66E-2</v>
      </c>
      <c r="AH33" s="2855">
        <f>ROUND(AVERAGE(L33:L$36)/100,4)</f>
        <v>1.12E-2</v>
      </c>
    </row>
    <row r="34" spans="1:34">
      <c r="A34" s="2866" t="s">
        <v>942</v>
      </c>
      <c r="B34" s="2867">
        <f t="shared" ref="B34:C36" si="191">B33/(1+N33)</f>
        <v>317.33359944117353</v>
      </c>
      <c r="C34" s="2867">
        <f t="shared" si="191"/>
        <v>266.90568668459315</v>
      </c>
      <c r="D34" s="2867">
        <f t="shared" si="186"/>
        <v>266.90568668459315</v>
      </c>
      <c r="E34" s="2867">
        <f t="shared" ref="E34:F36" si="192">E33/(1+P33)</f>
        <v>436.47622852576905</v>
      </c>
      <c r="F34" s="2867">
        <f t="shared" si="192"/>
        <v>234.90930716622066</v>
      </c>
      <c r="G34" s="3586"/>
      <c r="H34" s="2897">
        <v>3</v>
      </c>
      <c r="I34" s="2897">
        <v>0.83</v>
      </c>
      <c r="J34" s="2897">
        <v>1.47</v>
      </c>
      <c r="K34" s="2897">
        <v>0.65</v>
      </c>
      <c r="L34" s="2898">
        <v>0.72</v>
      </c>
      <c r="N34" s="2869">
        <f t="shared" si="188"/>
        <v>8.3000000000000001E-3</v>
      </c>
      <c r="O34" s="2855">
        <f t="shared" si="184"/>
        <v>1.47E-2</v>
      </c>
      <c r="P34" s="2855">
        <f t="shared" si="184"/>
        <v>6.5000000000000006E-3</v>
      </c>
      <c r="Q34" s="2855">
        <f t="shared" si="184"/>
        <v>7.1999999999999998E-3</v>
      </c>
      <c r="R34" s="2870"/>
      <c r="S34" s="2869"/>
      <c r="T34" s="2855"/>
      <c r="U34" s="2855"/>
      <c r="V34" s="2855"/>
      <c r="X34" s="2854">
        <f>ROUND(SUMPRODUCT(PRODUCT(1+N34:N$35)),4)</f>
        <v>1.0325</v>
      </c>
      <c r="Y34" s="2854">
        <f>ROUND(SUMPRODUCT(PRODUCT(1+O34:O$35)),4)</f>
        <v>1.0353000000000001</v>
      </c>
      <c r="Z34" s="2854">
        <f t="shared" ref="Z34:Z35" si="193">Y34</f>
        <v>1.0353000000000001</v>
      </c>
      <c r="AA34" s="2854">
        <f>ROUND(SUMPRODUCT(PRODUCT(1+P34:P$35)),4)</f>
        <v>1.0326</v>
      </c>
      <c r="AB34" s="2854">
        <f>ROUND(SUMPRODUCT(PRODUCT(1+Q34:Q$35)),4)</f>
        <v>1.0225</v>
      </c>
      <c r="AD34" s="2855">
        <f>ROUND(AVERAGE(I34:I$36)/100,4)</f>
        <v>2.07E-2</v>
      </c>
      <c r="AE34" s="2855">
        <f>ROUND(AVERAGE(J34:J$36)/100,4)</f>
        <v>1.95E-2</v>
      </c>
      <c r="AF34" s="2855">
        <f t="shared" si="1"/>
        <v>1.95E-2</v>
      </c>
      <c r="AG34" s="2855">
        <f>ROUND(AVERAGE(K34:K$36)/100,4)</f>
        <v>2.1700000000000001E-2</v>
      </c>
      <c r="AH34" s="2855">
        <f>ROUND(AVERAGE(L34:L$36)/100,4)</f>
        <v>1.2E-2</v>
      </c>
    </row>
    <row r="35" spans="1:34" ht="13.5" thickBot="1">
      <c r="A35" s="2866" t="s">
        <v>941</v>
      </c>
      <c r="B35" s="2867">
        <f t="shared" si="191"/>
        <v>314.72141172386546</v>
      </c>
      <c r="C35" s="2867">
        <f t="shared" si="191"/>
        <v>263.03901319069001</v>
      </c>
      <c r="D35" s="2867">
        <f t="shared" si="186"/>
        <v>263.03901319069001</v>
      </c>
      <c r="E35" s="2867">
        <f t="shared" si="192"/>
        <v>433.65745506782821</v>
      </c>
      <c r="F35" s="2867">
        <f t="shared" si="192"/>
        <v>233.23005080045735</v>
      </c>
      <c r="G35" s="3586"/>
      <c r="H35" s="2890">
        <v>2</v>
      </c>
      <c r="I35" s="2890">
        <v>2.4</v>
      </c>
      <c r="J35" s="2890">
        <v>2.0299999999999998</v>
      </c>
      <c r="K35" s="2890">
        <v>2.59</v>
      </c>
      <c r="L35" s="2891">
        <v>1.52</v>
      </c>
      <c r="N35" s="2869">
        <f t="shared" si="188"/>
        <v>2.4E-2</v>
      </c>
      <c r="O35" s="2855">
        <f t="shared" si="184"/>
        <v>2.0299999999999999E-2</v>
      </c>
      <c r="P35" s="2855">
        <f t="shared" si="184"/>
        <v>2.5899999999999999E-2</v>
      </c>
      <c r="Q35" s="2855">
        <f t="shared" si="184"/>
        <v>1.52E-2</v>
      </c>
      <c r="R35" s="2870"/>
      <c r="S35" s="2869"/>
      <c r="T35" s="2855"/>
      <c r="U35" s="2855"/>
      <c r="V35" s="2855"/>
      <c r="X35" s="2854">
        <f>1+N35</f>
        <v>1.024</v>
      </c>
      <c r="Y35" s="2854">
        <f>1+O35</f>
        <v>1.0203</v>
      </c>
      <c r="Z35" s="2854">
        <f t="shared" si="193"/>
        <v>1.0203</v>
      </c>
      <c r="AA35" s="2854">
        <f>1+P35</f>
        <v>1.0259</v>
      </c>
      <c r="AB35" s="2854">
        <f>1+Q35</f>
        <v>1.0152000000000001</v>
      </c>
      <c r="AD35" s="2855">
        <f>ROUND(AVERAGE(I35:I$36)/100,4)</f>
        <v>2.69E-2</v>
      </c>
      <c r="AE35" s="2855">
        <f>ROUND(AVERAGE(J35:J$36)/100,4)</f>
        <v>2.1899999999999999E-2</v>
      </c>
      <c r="AF35" s="2855">
        <f t="shared" ref="AF35" si="194">AE35</f>
        <v>2.1899999999999999E-2</v>
      </c>
      <c r="AG35" s="2855">
        <f>ROUND(AVERAGE(K35:K$36)/100,4)</f>
        <v>2.9399999999999999E-2</v>
      </c>
      <c r="AH35" s="2855">
        <f>ROUND(AVERAGE(L35:L$36)/100,4)</f>
        <v>1.44E-2</v>
      </c>
    </row>
    <row r="36" spans="1:34" s="2903" customFormat="1" ht="13.5" thickBot="1">
      <c r="A36" s="2899" t="s">
        <v>940</v>
      </c>
      <c r="B36" s="2900">
        <f t="shared" si="191"/>
        <v>307.34512863658733</v>
      </c>
      <c r="C36" s="2900">
        <f t="shared" si="191"/>
        <v>257.80556031626975</v>
      </c>
      <c r="D36" s="2900">
        <f t="shared" si="186"/>
        <v>257.80556031626975</v>
      </c>
      <c r="E36" s="2900">
        <f t="shared" si="192"/>
        <v>422.70928459677179</v>
      </c>
      <c r="F36" s="2900">
        <f t="shared" si="192"/>
        <v>229.73803270336617</v>
      </c>
      <c r="G36" s="3589"/>
      <c r="H36" s="2901">
        <v>1</v>
      </c>
      <c r="I36" s="2901">
        <v>2.97</v>
      </c>
      <c r="J36" s="2901">
        <v>2.34</v>
      </c>
      <c r="K36" s="2901">
        <v>3.28</v>
      </c>
      <c r="L36" s="2902">
        <v>1.36</v>
      </c>
      <c r="N36" s="2904">
        <f t="shared" si="188"/>
        <v>2.9700000000000001E-2</v>
      </c>
      <c r="O36" s="2905">
        <f t="shared" si="184"/>
        <v>2.3399999999999997E-2</v>
      </c>
      <c r="P36" s="2905">
        <f t="shared" si="184"/>
        <v>3.2799999999999996E-2</v>
      </c>
      <c r="Q36" s="2905">
        <f t="shared" si="184"/>
        <v>1.3600000000000001E-2</v>
      </c>
      <c r="R36" s="2906"/>
      <c r="S36" s="2907">
        <f>B36/B37-1</f>
        <v>2.7910129219355539E-2</v>
      </c>
      <c r="T36" s="2908">
        <f>C36/C37-1</f>
        <v>2.3037937762975247E-2</v>
      </c>
      <c r="U36" s="2908">
        <f>E36/E37-1</f>
        <v>3.3519033243940788E-2</v>
      </c>
      <c r="V36" s="2908">
        <f>F36/F37-1</f>
        <v>1.2061818076502862E-2</v>
      </c>
      <c r="W36" s="2909" t="s">
        <v>2600</v>
      </c>
      <c r="X36" s="2910">
        <v>1</v>
      </c>
      <c r="Y36" s="2910">
        <v>1</v>
      </c>
      <c r="Z36" s="2910">
        <v>1</v>
      </c>
      <c r="AA36" s="2910">
        <v>1</v>
      </c>
      <c r="AB36" s="2910">
        <v>1</v>
      </c>
      <c r="AD36" s="2905">
        <f>I36/100</f>
        <v>2.9700000000000001E-2</v>
      </c>
      <c r="AE36" s="2905">
        <f>J36/100</f>
        <v>2.3399999999999997E-2</v>
      </c>
      <c r="AF36" s="2905">
        <f>AE36</f>
        <v>2.3399999999999997E-2</v>
      </c>
      <c r="AG36" s="2905">
        <f>K36/100</f>
        <v>3.2799999999999996E-2</v>
      </c>
      <c r="AH36" s="2905">
        <f>L36/100</f>
        <v>1.3600000000000001E-2</v>
      </c>
    </row>
    <row r="37" spans="1:34" ht="13.5" thickBot="1">
      <c r="A37" s="2866" t="s">
        <v>2543</v>
      </c>
      <c r="B37" s="2888">
        <v>299</v>
      </c>
      <c r="C37" s="2888">
        <v>252</v>
      </c>
      <c r="D37" s="2888">
        <f t="shared" si="186"/>
        <v>252</v>
      </c>
      <c r="E37" s="2888">
        <v>409</v>
      </c>
      <c r="F37" s="2889">
        <v>227</v>
      </c>
      <c r="G37" s="3593">
        <v>2013</v>
      </c>
      <c r="H37" s="2911">
        <v>4</v>
      </c>
      <c r="I37" s="2911">
        <v>1.83</v>
      </c>
      <c r="J37" s="2911">
        <v>1.68</v>
      </c>
      <c r="K37" s="2911">
        <v>1.97</v>
      </c>
      <c r="L37" s="2912">
        <v>0.87</v>
      </c>
      <c r="N37" s="2885">
        <f t="shared" si="188"/>
        <v>1.83E-2</v>
      </c>
      <c r="O37" s="2886">
        <f t="shared" si="184"/>
        <v>1.6799999999999999E-2</v>
      </c>
      <c r="P37" s="2886">
        <f t="shared" si="184"/>
        <v>1.9699999999999999E-2</v>
      </c>
      <c r="Q37" s="2886">
        <f t="shared" si="184"/>
        <v>8.6999999999999994E-3</v>
      </c>
      <c r="R37" s="2870"/>
      <c r="S37" s="2879"/>
      <c r="T37" s="2880"/>
      <c r="U37" s="2880"/>
      <c r="V37" s="2880"/>
      <c r="X37" s="2880"/>
      <c r="Y37" s="2880"/>
      <c r="Z37" s="2880"/>
    </row>
    <row r="38" spans="1:34">
      <c r="A38" s="2866" t="s">
        <v>2544</v>
      </c>
      <c r="B38" s="2867">
        <f t="shared" ref="B38:C40" si="195">B37/(1+N37)</f>
        <v>293.62663262299913</v>
      </c>
      <c r="C38" s="2867">
        <f t="shared" si="195"/>
        <v>247.83634933123525</v>
      </c>
      <c r="D38" s="2867">
        <f t="shared" si="186"/>
        <v>247.83634933123525</v>
      </c>
      <c r="E38" s="2867">
        <f t="shared" ref="E38:F40" si="196">E37/(1+P37)</f>
        <v>401.09836226341076</v>
      </c>
      <c r="F38" s="2867">
        <f t="shared" si="196"/>
        <v>225.04213343908003</v>
      </c>
      <c r="G38" s="3594"/>
      <c r="H38" s="2893">
        <v>3</v>
      </c>
      <c r="I38" s="2893">
        <v>1.86</v>
      </c>
      <c r="J38" s="2893">
        <v>1.72</v>
      </c>
      <c r="K38" s="2893">
        <v>1.98</v>
      </c>
      <c r="L38" s="2894">
        <v>0.88</v>
      </c>
      <c r="N38" s="2869">
        <f t="shared" si="188"/>
        <v>1.8600000000000002E-2</v>
      </c>
      <c r="O38" s="2887">
        <f t="shared" si="184"/>
        <v>1.72E-2</v>
      </c>
      <c r="P38" s="2887">
        <f t="shared" si="184"/>
        <v>1.9799999999999998E-2</v>
      </c>
      <c r="Q38" s="2887">
        <f t="shared" si="184"/>
        <v>8.8000000000000005E-3</v>
      </c>
      <c r="R38" s="2870"/>
      <c r="S38" s="2869"/>
      <c r="T38" s="2855"/>
      <c r="U38" s="2855"/>
      <c r="V38" s="2855"/>
    </row>
    <row r="39" spans="1:34">
      <c r="A39" s="2866" t="s">
        <v>2545</v>
      </c>
      <c r="B39" s="2867">
        <f t="shared" si="195"/>
        <v>288.2649053828776</v>
      </c>
      <c r="C39" s="2867">
        <f t="shared" si="195"/>
        <v>243.64564425013293</v>
      </c>
      <c r="D39" s="2867">
        <f t="shared" si="186"/>
        <v>243.64564425013293</v>
      </c>
      <c r="E39" s="2867">
        <f t="shared" si="196"/>
        <v>393.31080825986544</v>
      </c>
      <c r="F39" s="2867">
        <f t="shared" si="196"/>
        <v>223.07903790551154</v>
      </c>
      <c r="G39" s="3594"/>
      <c r="H39" s="2881">
        <v>2</v>
      </c>
      <c r="I39" s="2881">
        <v>2.04</v>
      </c>
      <c r="J39" s="2881">
        <v>2.33</v>
      </c>
      <c r="K39" s="2881">
        <v>2.0699999999999998</v>
      </c>
      <c r="L39" s="2882">
        <v>0.69</v>
      </c>
      <c r="N39" s="2869">
        <f t="shared" si="188"/>
        <v>2.0400000000000001E-2</v>
      </c>
      <c r="O39" s="2887">
        <f t="shared" si="184"/>
        <v>2.3300000000000001E-2</v>
      </c>
      <c r="P39" s="2887">
        <f t="shared" si="184"/>
        <v>2.07E-2</v>
      </c>
      <c r="Q39" s="2887">
        <f t="shared" si="184"/>
        <v>6.8999999999999999E-3</v>
      </c>
      <c r="R39" s="2870"/>
      <c r="S39" s="2869"/>
      <c r="T39" s="2855"/>
      <c r="U39" s="2855"/>
      <c r="V39" s="2855"/>
      <c r="X39" s="2913"/>
      <c r="Y39" s="2914"/>
    </row>
    <row r="40" spans="1:34">
      <c r="A40" s="2866" t="s">
        <v>2546</v>
      </c>
      <c r="B40" s="2867">
        <f t="shared" si="195"/>
        <v>282.50186729015837</v>
      </c>
      <c r="C40" s="2867">
        <f t="shared" si="195"/>
        <v>238.09796174155468</v>
      </c>
      <c r="D40" s="2867">
        <f t="shared" si="186"/>
        <v>238.09796174155468</v>
      </c>
      <c r="E40" s="2867">
        <f t="shared" si="196"/>
        <v>385.33438646014054</v>
      </c>
      <c r="F40" s="2867">
        <f t="shared" si="196"/>
        <v>221.55034055567739</v>
      </c>
      <c r="G40" s="3595"/>
      <c r="H40" s="2868">
        <v>1</v>
      </c>
      <c r="I40" s="2868">
        <v>1.67</v>
      </c>
      <c r="J40" s="2868">
        <v>1.31</v>
      </c>
      <c r="K40" s="2868">
        <v>1.85</v>
      </c>
      <c r="L40" s="2874">
        <v>0.96</v>
      </c>
      <c r="N40" s="2871">
        <f t="shared" si="188"/>
        <v>1.67E-2</v>
      </c>
      <c r="O40" s="2872">
        <f t="shared" si="184"/>
        <v>1.3100000000000001E-2</v>
      </c>
      <c r="P40" s="2872">
        <f t="shared" si="184"/>
        <v>1.8500000000000003E-2</v>
      </c>
      <c r="Q40" s="2872">
        <f t="shared" si="184"/>
        <v>9.5999999999999992E-3</v>
      </c>
      <c r="R40" s="2870"/>
      <c r="S40" s="2871">
        <f>B40/B41-1</f>
        <v>1.6193767230785472E-2</v>
      </c>
      <c r="T40" s="2872">
        <f>C40/C41-1</f>
        <v>1.7512657015190891E-2</v>
      </c>
      <c r="U40" s="2872">
        <f>E40/E41-1</f>
        <v>1.6713420739157048E-2</v>
      </c>
      <c r="V40" s="2872">
        <f>F40/F41-1</f>
        <v>7.0470025258062563E-3</v>
      </c>
      <c r="X40" s="2915"/>
      <c r="Y40" s="2855"/>
      <c r="Z40" s="2855"/>
    </row>
    <row r="41" spans="1:34" ht="13.5" thickBot="1">
      <c r="A41" s="2866" t="s">
        <v>2547</v>
      </c>
      <c r="B41" s="2916">
        <v>278</v>
      </c>
      <c r="C41" s="2916">
        <v>234</v>
      </c>
      <c r="D41" s="2916">
        <f t="shared" si="186"/>
        <v>234</v>
      </c>
      <c r="E41" s="2916">
        <v>379</v>
      </c>
      <c r="F41" s="2917">
        <v>220</v>
      </c>
      <c r="G41" s="3588">
        <v>2012</v>
      </c>
      <c r="H41" s="2890">
        <v>4</v>
      </c>
      <c r="I41" s="2890">
        <v>0.91</v>
      </c>
      <c r="J41" s="2890">
        <v>0.68</v>
      </c>
      <c r="K41" s="2890">
        <v>0.98</v>
      </c>
      <c r="L41" s="2891">
        <v>0.9</v>
      </c>
      <c r="N41" s="2869">
        <f t="shared" si="188"/>
        <v>9.1000000000000004E-3</v>
      </c>
      <c r="O41" s="2855">
        <f t="shared" si="188"/>
        <v>6.8000000000000005E-3</v>
      </c>
      <c r="P41" s="2855">
        <f t="shared" si="188"/>
        <v>9.7999999999999997E-3</v>
      </c>
      <c r="Q41" s="2855">
        <f t="shared" si="188"/>
        <v>9.0000000000000011E-3</v>
      </c>
      <c r="R41" s="2870"/>
      <c r="S41" s="2879"/>
      <c r="T41" s="2880"/>
      <c r="U41" s="2880"/>
      <c r="V41" s="2880"/>
      <c r="X41" s="2880"/>
      <c r="Y41" s="2880"/>
      <c r="Z41" s="2880"/>
    </row>
    <row r="42" spans="1:34">
      <c r="A42" s="2866" t="s">
        <v>2548</v>
      </c>
      <c r="B42" s="2867">
        <f>B41/(1+N41)</f>
        <v>275.49301357645425</v>
      </c>
      <c r="C42" s="2867">
        <f>C41/(1+O41)</f>
        <v>232.41954707985698</v>
      </c>
      <c r="D42" s="2867">
        <f t="shared" si="186"/>
        <v>232.41954707985698</v>
      </c>
      <c r="E42" s="2867">
        <f t="shared" ref="E42:F44" si="197">E41/(1+P41)</f>
        <v>375.32184591008121</v>
      </c>
      <c r="F42" s="2867">
        <f t="shared" si="197"/>
        <v>218.03766105054513</v>
      </c>
      <c r="G42" s="3586"/>
      <c r="H42" s="2893">
        <v>3</v>
      </c>
      <c r="I42" s="2893">
        <v>0.09</v>
      </c>
      <c r="J42" s="2893">
        <v>0.28999999999999998</v>
      </c>
      <c r="K42" s="2893">
        <v>-0.01</v>
      </c>
      <c r="L42" s="2894">
        <v>0.57999999999999996</v>
      </c>
      <c r="N42" s="2869">
        <f t="shared" si="188"/>
        <v>8.9999999999999998E-4</v>
      </c>
      <c r="O42" s="2855">
        <f t="shared" si="188"/>
        <v>2.8999999999999998E-3</v>
      </c>
      <c r="P42" s="2855">
        <f t="shared" si="188"/>
        <v>-1E-4</v>
      </c>
      <c r="Q42" s="2855">
        <f t="shared" si="188"/>
        <v>5.7999999999999996E-3</v>
      </c>
      <c r="R42" s="2870"/>
      <c r="S42" s="2869"/>
      <c r="T42" s="2855"/>
      <c r="U42" s="2855"/>
      <c r="V42" s="2855"/>
    </row>
    <row r="43" spans="1:34">
      <c r="A43" s="2866" t="s">
        <v>2549</v>
      </c>
      <c r="B43" s="2867">
        <f>B42/(1+N42)</f>
        <v>275.24529281292263</v>
      </c>
      <c r="C43" s="2867">
        <f>C42/(1+O42)</f>
        <v>231.74747938962707</v>
      </c>
      <c r="D43" s="2867">
        <f t="shared" si="186"/>
        <v>231.74747938962707</v>
      </c>
      <c r="E43" s="2867">
        <f t="shared" si="197"/>
        <v>375.35938184826603</v>
      </c>
      <c r="F43" s="2867">
        <f t="shared" si="197"/>
        <v>216.78033510692495</v>
      </c>
      <c r="G43" s="3586"/>
      <c r="H43" s="2881">
        <v>2</v>
      </c>
      <c r="I43" s="2881">
        <v>0.02</v>
      </c>
      <c r="J43" s="2881">
        <v>0.12</v>
      </c>
      <c r="K43" s="2881">
        <v>-0.08</v>
      </c>
      <c r="L43" s="2882">
        <v>1.24</v>
      </c>
      <c r="N43" s="2869">
        <f t="shared" si="188"/>
        <v>2.0000000000000001E-4</v>
      </c>
      <c r="O43" s="2855">
        <f t="shared" si="188"/>
        <v>1.1999999999999999E-3</v>
      </c>
      <c r="P43" s="2855">
        <f t="shared" si="188"/>
        <v>-8.0000000000000004E-4</v>
      </c>
      <c r="Q43" s="2855">
        <f t="shared" si="188"/>
        <v>1.24E-2</v>
      </c>
      <c r="R43" s="2870"/>
      <c r="S43" s="2869"/>
      <c r="T43" s="2855"/>
      <c r="U43" s="2855"/>
      <c r="V43" s="2855"/>
    </row>
    <row r="44" spans="1:34" ht="13.5" thickBot="1">
      <c r="A44" s="2866" t="s">
        <v>2550</v>
      </c>
      <c r="B44" s="2867">
        <f>B43/(1+N43)</f>
        <v>275.19025476197027</v>
      </c>
      <c r="C44" s="2918">
        <v>232</v>
      </c>
      <c r="D44" s="2918">
        <f t="shared" si="186"/>
        <v>232</v>
      </c>
      <c r="E44" s="2867">
        <f t="shared" si="197"/>
        <v>375.65990977608692</v>
      </c>
      <c r="F44" s="2867">
        <f t="shared" si="197"/>
        <v>214.12518283971252</v>
      </c>
      <c r="G44" s="3589"/>
      <c r="H44" s="2868">
        <v>1</v>
      </c>
      <c r="I44" s="2868">
        <v>0.02</v>
      </c>
      <c r="J44" s="2868">
        <v>0.13</v>
      </c>
      <c r="K44" s="2868">
        <v>-0.04</v>
      </c>
      <c r="L44" s="2874">
        <v>0.46</v>
      </c>
      <c r="N44" s="2869">
        <f t="shared" si="188"/>
        <v>2.0000000000000001E-4</v>
      </c>
      <c r="O44" s="2855">
        <f t="shared" si="188"/>
        <v>1.2999999999999999E-3</v>
      </c>
      <c r="P44" s="2855">
        <f t="shared" si="188"/>
        <v>-4.0000000000000002E-4</v>
      </c>
      <c r="Q44" s="2855">
        <f t="shared" si="188"/>
        <v>4.5999999999999999E-3</v>
      </c>
      <c r="R44" s="2870"/>
      <c r="S44" s="2871">
        <f>B44/B45-1</f>
        <v>6.9183549807361189E-4</v>
      </c>
      <c r="T44" s="2872">
        <f>C44/C45-1</f>
        <v>0</v>
      </c>
      <c r="U44" s="2872">
        <f>E44/E45-1</f>
        <v>-9.0449527636460303E-4</v>
      </c>
      <c r="V44" s="2872">
        <f>F44/F45-1</f>
        <v>5.2825485432512753E-3</v>
      </c>
      <c r="X44" s="2855"/>
      <c r="Y44" s="2855"/>
      <c r="Z44" s="2855"/>
    </row>
    <row r="45" spans="1:34" ht="13.5" thickBot="1">
      <c r="A45" s="2866" t="s">
        <v>2551</v>
      </c>
      <c r="B45" s="2888">
        <v>275</v>
      </c>
      <c r="C45" s="2888">
        <v>232</v>
      </c>
      <c r="D45" s="2888">
        <f t="shared" si="186"/>
        <v>232</v>
      </c>
      <c r="E45" s="2888">
        <v>376</v>
      </c>
      <c r="F45" s="2889">
        <v>213</v>
      </c>
      <c r="G45" s="3588">
        <v>2011</v>
      </c>
      <c r="H45" s="2890">
        <v>4</v>
      </c>
      <c r="I45" s="2890">
        <v>-0.2</v>
      </c>
      <c r="J45" s="2890">
        <v>0.04</v>
      </c>
      <c r="K45" s="2890">
        <v>-0.34</v>
      </c>
      <c r="L45" s="2891">
        <v>0.46</v>
      </c>
      <c r="N45" s="2885">
        <f t="shared" si="188"/>
        <v>-2E-3</v>
      </c>
      <c r="O45" s="2886">
        <f t="shared" si="188"/>
        <v>4.0000000000000002E-4</v>
      </c>
      <c r="P45" s="2886">
        <f t="shared" si="188"/>
        <v>-3.4000000000000002E-3</v>
      </c>
      <c r="Q45" s="2886">
        <f t="shared" si="188"/>
        <v>4.5999999999999999E-3</v>
      </c>
      <c r="R45" s="2870"/>
      <c r="S45" s="2879"/>
      <c r="T45" s="2880"/>
      <c r="U45" s="2880"/>
      <c r="V45" s="2880"/>
      <c r="X45" s="2880"/>
      <c r="Y45" s="2880"/>
      <c r="Z45" s="2880"/>
    </row>
    <row r="46" spans="1:34">
      <c r="A46" s="2866" t="s">
        <v>2552</v>
      </c>
      <c r="B46" s="2867">
        <f t="shared" ref="B46:C48" si="198">B45/(1+N45)</f>
        <v>275.55110220440883</v>
      </c>
      <c r="C46" s="2867">
        <f t="shared" si="198"/>
        <v>231.90723710515795</v>
      </c>
      <c r="D46" s="2867">
        <f t="shared" si="186"/>
        <v>231.90723710515795</v>
      </c>
      <c r="E46" s="2867">
        <f t="shared" ref="E46:F48" si="199">E45/(1+P45)</f>
        <v>377.28276138872161</v>
      </c>
      <c r="F46" s="2867">
        <f t="shared" si="199"/>
        <v>212.02468644236512</v>
      </c>
      <c r="G46" s="3586">
        <v>2011</v>
      </c>
      <c r="H46" s="2893">
        <v>3</v>
      </c>
      <c r="I46" s="2893">
        <v>0.13</v>
      </c>
      <c r="J46" s="2893">
        <v>0.75</v>
      </c>
      <c r="K46" s="2893">
        <v>-0.08</v>
      </c>
      <c r="L46" s="2894">
        <v>0.53</v>
      </c>
      <c r="N46" s="2869">
        <f t="shared" si="188"/>
        <v>1.2999999999999999E-3</v>
      </c>
      <c r="O46" s="2887">
        <f t="shared" si="188"/>
        <v>7.4999999999999997E-3</v>
      </c>
      <c r="P46" s="2887">
        <f t="shared" si="188"/>
        <v>-8.0000000000000004E-4</v>
      </c>
      <c r="Q46" s="2887">
        <f t="shared" si="188"/>
        <v>5.3E-3</v>
      </c>
      <c r="R46" s="2870"/>
      <c r="S46" s="2869"/>
      <c r="T46" s="2855"/>
      <c r="U46" s="2855"/>
      <c r="V46" s="2855"/>
    </row>
    <row r="47" spans="1:34">
      <c r="A47" s="2866" t="s">
        <v>2553</v>
      </c>
      <c r="B47" s="2867">
        <f t="shared" si="198"/>
        <v>275.19335084830601</v>
      </c>
      <c r="C47" s="2867">
        <f t="shared" si="198"/>
        <v>230.18088050139744</v>
      </c>
      <c r="D47" s="2867">
        <f t="shared" si="186"/>
        <v>230.18088050139744</v>
      </c>
      <c r="E47" s="2867">
        <f t="shared" si="199"/>
        <v>377.58482925212331</v>
      </c>
      <c r="F47" s="2867">
        <f t="shared" si="199"/>
        <v>210.90687997847917</v>
      </c>
      <c r="G47" s="3586">
        <v>2011</v>
      </c>
      <c r="H47" s="2881">
        <v>2</v>
      </c>
      <c r="I47" s="2881">
        <v>-0.4</v>
      </c>
      <c r="J47" s="2881">
        <v>0.17</v>
      </c>
      <c r="K47" s="2881">
        <v>-0.57999999999999996</v>
      </c>
      <c r="L47" s="2882">
        <v>-0.2</v>
      </c>
      <c r="N47" s="2869">
        <f t="shared" si="188"/>
        <v>-4.0000000000000001E-3</v>
      </c>
      <c r="O47" s="2887">
        <f t="shared" si="188"/>
        <v>1.7000000000000001E-3</v>
      </c>
      <c r="P47" s="2887">
        <f t="shared" si="188"/>
        <v>-5.7999999999999996E-3</v>
      </c>
      <c r="Q47" s="2887">
        <f t="shared" si="188"/>
        <v>-2E-3</v>
      </c>
      <c r="R47" s="2870"/>
      <c r="S47" s="2869"/>
      <c r="T47" s="2855"/>
      <c r="U47" s="2855"/>
      <c r="V47" s="2855"/>
    </row>
    <row r="48" spans="1:34" ht="13.5" thickBot="1">
      <c r="A48" s="2866" t="s">
        <v>2554</v>
      </c>
      <c r="B48" s="2867">
        <f t="shared" si="198"/>
        <v>276.29854502841971</v>
      </c>
      <c r="C48" s="2867">
        <f t="shared" si="198"/>
        <v>229.79023709833027</v>
      </c>
      <c r="D48" s="2867">
        <f t="shared" si="186"/>
        <v>229.79023709833027</v>
      </c>
      <c r="E48" s="2867">
        <f t="shared" si="199"/>
        <v>379.78759731655936</v>
      </c>
      <c r="F48" s="2867">
        <f t="shared" si="199"/>
        <v>211.32953905659235</v>
      </c>
      <c r="G48" s="3589">
        <v>2011</v>
      </c>
      <c r="H48" s="2868">
        <v>1</v>
      </c>
      <c r="I48" s="2868">
        <v>2.65</v>
      </c>
      <c r="J48" s="2868">
        <v>3.76</v>
      </c>
      <c r="K48" s="2868">
        <v>1.89</v>
      </c>
      <c r="L48" s="2874">
        <v>7.95</v>
      </c>
      <c r="N48" s="2871">
        <f t="shared" si="188"/>
        <v>2.6499999999999999E-2</v>
      </c>
      <c r="O48" s="2872">
        <f t="shared" si="188"/>
        <v>3.7599999999999995E-2</v>
      </c>
      <c r="P48" s="2872">
        <f t="shared" si="188"/>
        <v>1.89E-2</v>
      </c>
      <c r="Q48" s="2872">
        <f t="shared" si="188"/>
        <v>7.9500000000000001E-2</v>
      </c>
      <c r="R48" s="2870"/>
      <c r="S48" s="2871">
        <f>B48/B49-1</f>
        <v>2.713213765211786E-2</v>
      </c>
      <c r="T48" s="2872">
        <f>C48/C49-1</f>
        <v>3.9774828499231862E-2</v>
      </c>
      <c r="U48" s="2872">
        <f>E48/E49-1</f>
        <v>1.8197311840641772E-2</v>
      </c>
      <c r="V48" s="2872">
        <f>F48/F49-1</f>
        <v>7.8211933962205826E-2</v>
      </c>
      <c r="X48" s="2855"/>
      <c r="Y48" s="2855"/>
      <c r="Z48" s="2855"/>
    </row>
    <row r="49" spans="1:26" ht="13.5" thickBot="1">
      <c r="A49" s="2866" t="s">
        <v>2555</v>
      </c>
      <c r="B49" s="2888">
        <v>269</v>
      </c>
      <c r="C49" s="2888">
        <v>221</v>
      </c>
      <c r="D49" s="2888">
        <f t="shared" si="186"/>
        <v>221</v>
      </c>
      <c r="E49" s="2888">
        <v>373</v>
      </c>
      <c r="F49" s="2889">
        <v>196</v>
      </c>
      <c r="G49" s="3588">
        <v>2010</v>
      </c>
      <c r="H49" s="2890">
        <v>4</v>
      </c>
      <c r="I49" s="2890">
        <v>5.72</v>
      </c>
      <c r="J49" s="2890">
        <v>6.57</v>
      </c>
      <c r="K49" s="2890">
        <v>5.72</v>
      </c>
      <c r="L49" s="2891">
        <v>2.72</v>
      </c>
      <c r="N49" s="2869">
        <f t="shared" si="188"/>
        <v>5.7200000000000001E-2</v>
      </c>
      <c r="O49" s="2855">
        <f t="shared" si="188"/>
        <v>6.5700000000000008E-2</v>
      </c>
      <c r="P49" s="2855">
        <f t="shared" si="188"/>
        <v>5.7200000000000001E-2</v>
      </c>
      <c r="Q49" s="2855">
        <f t="shared" si="188"/>
        <v>2.7200000000000002E-2</v>
      </c>
      <c r="R49" s="2870"/>
      <c r="S49" s="2879"/>
      <c r="T49" s="2880"/>
      <c r="U49" s="2880"/>
      <c r="V49" s="2880"/>
      <c r="X49" s="2880"/>
      <c r="Y49" s="2880"/>
      <c r="Z49" s="2880"/>
    </row>
    <row r="50" spans="1:26">
      <c r="A50" s="2866" t="s">
        <v>2556</v>
      </c>
      <c r="B50" s="2867">
        <f t="shared" ref="B50:C52" si="200">B49/(1+N49)</f>
        <v>254.44570563753314</v>
      </c>
      <c r="C50" s="2867">
        <f t="shared" si="200"/>
        <v>207.37543398705074</v>
      </c>
      <c r="D50" s="2867">
        <f t="shared" si="186"/>
        <v>207.37543398705074</v>
      </c>
      <c r="E50" s="2867">
        <f t="shared" ref="E50:F52" si="201">E49/(1+P49)</f>
        <v>352.81876655315932</v>
      </c>
      <c r="F50" s="2867">
        <f t="shared" si="201"/>
        <v>190.809968847352</v>
      </c>
      <c r="G50" s="3586">
        <v>2010</v>
      </c>
      <c r="H50" s="2893">
        <v>3</v>
      </c>
      <c r="I50" s="2893">
        <v>4.7300000000000004</v>
      </c>
      <c r="J50" s="2893">
        <v>3.9</v>
      </c>
      <c r="K50" s="2893">
        <v>5.03</v>
      </c>
      <c r="L50" s="2894">
        <v>4.21</v>
      </c>
      <c r="N50" s="2869">
        <f t="shared" si="188"/>
        <v>4.7300000000000002E-2</v>
      </c>
      <c r="O50" s="2855">
        <f t="shared" si="188"/>
        <v>3.9E-2</v>
      </c>
      <c r="P50" s="2855">
        <f t="shared" si="188"/>
        <v>5.0300000000000004E-2</v>
      </c>
      <c r="Q50" s="2855">
        <f t="shared" si="188"/>
        <v>4.2099999999999999E-2</v>
      </c>
      <c r="R50" s="2870"/>
      <c r="S50" s="2869"/>
      <c r="T50" s="2855"/>
      <c r="U50" s="2855"/>
      <c r="V50" s="2855"/>
    </row>
    <row r="51" spans="1:26">
      <c r="A51" s="2866" t="s">
        <v>2557</v>
      </c>
      <c r="B51" s="2867">
        <f t="shared" si="200"/>
        <v>242.95398227588385</v>
      </c>
      <c r="C51" s="2867">
        <f t="shared" si="200"/>
        <v>199.59137053614126</v>
      </c>
      <c r="D51" s="2867">
        <f t="shared" si="186"/>
        <v>199.59137053614126</v>
      </c>
      <c r="E51" s="2867">
        <f t="shared" si="201"/>
        <v>335.92189522342125</v>
      </c>
      <c r="F51" s="2867">
        <f t="shared" si="201"/>
        <v>183.10139991109489</v>
      </c>
      <c r="G51" s="3586">
        <v>2010</v>
      </c>
      <c r="H51" s="2881">
        <v>2</v>
      </c>
      <c r="I51" s="2881">
        <v>4.6900000000000004</v>
      </c>
      <c r="J51" s="2881">
        <v>3.55</v>
      </c>
      <c r="K51" s="2881">
        <v>5.07</v>
      </c>
      <c r="L51" s="2882">
        <v>4.2300000000000004</v>
      </c>
      <c r="N51" s="2869">
        <f t="shared" si="188"/>
        <v>4.6900000000000004E-2</v>
      </c>
      <c r="O51" s="2855">
        <f t="shared" si="188"/>
        <v>3.5499999999999997E-2</v>
      </c>
      <c r="P51" s="2855">
        <f t="shared" si="188"/>
        <v>5.0700000000000002E-2</v>
      </c>
      <c r="Q51" s="2855">
        <f t="shared" si="188"/>
        <v>4.2300000000000004E-2</v>
      </c>
      <c r="R51" s="2870"/>
      <c r="S51" s="2869"/>
      <c r="T51" s="2855"/>
      <c r="U51" s="2855"/>
      <c r="V51" s="2855"/>
    </row>
    <row r="52" spans="1:26" ht="13.5" thickBot="1">
      <c r="A52" s="2866" t="s">
        <v>2558</v>
      </c>
      <c r="B52" s="2867">
        <f t="shared" si="200"/>
        <v>232.06990378821649</v>
      </c>
      <c r="C52" s="2867">
        <f t="shared" si="200"/>
        <v>192.74878854286936</v>
      </c>
      <c r="D52" s="2867">
        <f t="shared" si="186"/>
        <v>192.74878854286936</v>
      </c>
      <c r="E52" s="2867">
        <f t="shared" si="201"/>
        <v>319.71247284992984</v>
      </c>
      <c r="F52" s="2867">
        <f t="shared" si="201"/>
        <v>175.67053622862409</v>
      </c>
      <c r="G52" s="3589">
        <v>2010</v>
      </c>
      <c r="H52" s="2868">
        <v>1</v>
      </c>
      <c r="I52" s="2868">
        <v>5.4</v>
      </c>
      <c r="J52" s="2868">
        <v>3.2</v>
      </c>
      <c r="K52" s="2868">
        <v>6.16</v>
      </c>
      <c r="L52" s="2874">
        <v>4.51</v>
      </c>
      <c r="N52" s="2869">
        <f t="shared" si="188"/>
        <v>5.4000000000000006E-2</v>
      </c>
      <c r="O52" s="2855">
        <f t="shared" si="188"/>
        <v>3.2000000000000001E-2</v>
      </c>
      <c r="P52" s="2855">
        <f t="shared" si="188"/>
        <v>6.1600000000000002E-2</v>
      </c>
      <c r="Q52" s="2855">
        <f t="shared" si="188"/>
        <v>4.5100000000000001E-2</v>
      </c>
      <c r="R52" s="2870"/>
      <c r="S52" s="2871">
        <f>B52/B53-1</f>
        <v>5.4863199037347599E-2</v>
      </c>
      <c r="T52" s="2872">
        <f>C52/C53-1</f>
        <v>3.0742184721226584E-2</v>
      </c>
      <c r="U52" s="2872">
        <f>E52/E53-1</f>
        <v>6.2167683886810154E-2</v>
      </c>
      <c r="V52" s="2872">
        <f>F52/F53-1</f>
        <v>4.5657953741810031E-2</v>
      </c>
      <c r="X52" s="2855"/>
      <c r="Y52" s="2855"/>
      <c r="Z52" s="2855"/>
    </row>
    <row r="53" spans="1:26" ht="13.5" thickBot="1">
      <c r="A53" s="2866" t="s">
        <v>2559</v>
      </c>
      <c r="B53" s="2888">
        <v>220</v>
      </c>
      <c r="C53" s="2888">
        <v>187</v>
      </c>
      <c r="D53" s="2888">
        <f t="shared" si="186"/>
        <v>187</v>
      </c>
      <c r="E53" s="2888">
        <v>301</v>
      </c>
      <c r="F53" s="2889">
        <v>168</v>
      </c>
      <c r="G53" s="3588">
        <v>2009</v>
      </c>
      <c r="H53" s="2890">
        <v>4</v>
      </c>
      <c r="I53" s="2890">
        <v>2.2999999999999998</v>
      </c>
      <c r="J53" s="2890">
        <v>1.04</v>
      </c>
      <c r="K53" s="2890">
        <v>2.84</v>
      </c>
      <c r="L53" s="2891">
        <v>0.67</v>
      </c>
      <c r="N53" s="2885">
        <f t="shared" si="188"/>
        <v>2.3E-2</v>
      </c>
      <c r="O53" s="2886">
        <f t="shared" si="188"/>
        <v>1.04E-2</v>
      </c>
      <c r="P53" s="2886">
        <f t="shared" si="188"/>
        <v>2.8399999999999998E-2</v>
      </c>
      <c r="Q53" s="2886">
        <f t="shared" si="188"/>
        <v>6.7000000000000002E-3</v>
      </c>
      <c r="R53" s="2870"/>
      <c r="S53" s="2879"/>
      <c r="T53" s="2880"/>
      <c r="U53" s="2880"/>
      <c r="V53" s="2880"/>
      <c r="X53" s="2880"/>
      <c r="Y53" s="2880"/>
      <c r="Z53" s="2880"/>
    </row>
    <row r="54" spans="1:26">
      <c r="A54" s="2866" t="s">
        <v>2560</v>
      </c>
      <c r="B54" s="2867">
        <f t="shared" ref="B54:C56" si="202">B53/(1+N53)</f>
        <v>215.05376344086022</v>
      </c>
      <c r="C54" s="2867">
        <f t="shared" si="202"/>
        <v>185.0752177355503</v>
      </c>
      <c r="D54" s="2867">
        <f t="shared" si="186"/>
        <v>185.0752177355503</v>
      </c>
      <c r="E54" s="2867">
        <f t="shared" ref="E54:F56" si="203">E53/(1+P53)</f>
        <v>292.68767016725008</v>
      </c>
      <c r="F54" s="2867">
        <f t="shared" si="203"/>
        <v>166.88189132810174</v>
      </c>
      <c r="G54" s="3586">
        <v>2009</v>
      </c>
      <c r="H54" s="2893">
        <v>3</v>
      </c>
      <c r="I54" s="2893">
        <v>2.1</v>
      </c>
      <c r="J54" s="2893">
        <v>1.86</v>
      </c>
      <c r="K54" s="2893">
        <v>2.29</v>
      </c>
      <c r="L54" s="2894">
        <v>0.85</v>
      </c>
      <c r="N54" s="2869">
        <f t="shared" si="188"/>
        <v>2.1000000000000001E-2</v>
      </c>
      <c r="O54" s="2887">
        <f t="shared" si="188"/>
        <v>1.8600000000000002E-2</v>
      </c>
      <c r="P54" s="2887">
        <f t="shared" si="188"/>
        <v>2.29E-2</v>
      </c>
      <c r="Q54" s="2887">
        <f t="shared" si="188"/>
        <v>8.5000000000000006E-3</v>
      </c>
      <c r="R54" s="2870"/>
      <c r="S54" s="2869"/>
      <c r="T54" s="2855"/>
      <c r="U54" s="2855"/>
      <c r="V54" s="2855"/>
    </row>
    <row r="55" spans="1:26">
      <c r="A55" s="2866" t="s">
        <v>2561</v>
      </c>
      <c r="B55" s="2867">
        <f t="shared" si="202"/>
        <v>210.630522469011</v>
      </c>
      <c r="C55" s="2867">
        <f t="shared" si="202"/>
        <v>181.69567812247232</v>
      </c>
      <c r="D55" s="2867">
        <f t="shared" si="186"/>
        <v>181.69567812247232</v>
      </c>
      <c r="E55" s="2867">
        <f t="shared" si="203"/>
        <v>286.13517466736738</v>
      </c>
      <c r="F55" s="2867">
        <f t="shared" si="203"/>
        <v>165.47535084591149</v>
      </c>
      <c r="G55" s="3586">
        <v>2009</v>
      </c>
      <c r="H55" s="2881">
        <v>2</v>
      </c>
      <c r="I55" s="2881">
        <v>0.86</v>
      </c>
      <c r="J55" s="2881">
        <v>-1.1299999999999999</v>
      </c>
      <c r="K55" s="2881">
        <v>1.79</v>
      </c>
      <c r="L55" s="2882">
        <v>-2.0699999999999998</v>
      </c>
      <c r="N55" s="2869">
        <f t="shared" si="188"/>
        <v>8.6E-3</v>
      </c>
      <c r="O55" s="2887">
        <f t="shared" si="188"/>
        <v>-1.1299999999999999E-2</v>
      </c>
      <c r="P55" s="2887">
        <f t="shared" si="188"/>
        <v>1.7899999999999999E-2</v>
      </c>
      <c r="Q55" s="2887">
        <f t="shared" si="188"/>
        <v>-2.07E-2</v>
      </c>
      <c r="R55" s="2870"/>
      <c r="S55" s="2869"/>
      <c r="T55" s="2855"/>
      <c r="U55" s="2855"/>
      <c r="V55" s="2855"/>
    </row>
    <row r="56" spans="1:26">
      <c r="A56" s="2866" t="s">
        <v>2562</v>
      </c>
      <c r="B56" s="2867">
        <f t="shared" si="202"/>
        <v>208.83454537875372</v>
      </c>
      <c r="C56" s="2867">
        <f t="shared" si="202"/>
        <v>183.77230517090351</v>
      </c>
      <c r="D56" s="2867">
        <f t="shared" si="186"/>
        <v>183.77230517090351</v>
      </c>
      <c r="E56" s="2867">
        <f t="shared" si="203"/>
        <v>281.10342338870947</v>
      </c>
      <c r="F56" s="2867">
        <f t="shared" si="203"/>
        <v>168.97309388942256</v>
      </c>
      <c r="G56" s="3589">
        <v>2009</v>
      </c>
      <c r="H56" s="2868">
        <v>1</v>
      </c>
      <c r="I56" s="2868">
        <v>-2.64</v>
      </c>
      <c r="J56" s="2868">
        <v>-2.5299999999999998</v>
      </c>
      <c r="K56" s="2868">
        <v>-3.02</v>
      </c>
      <c r="L56" s="2874">
        <v>1.52</v>
      </c>
      <c r="N56" s="2871">
        <f t="shared" si="188"/>
        <v>-2.64E-2</v>
      </c>
      <c r="O56" s="2872">
        <f t="shared" si="188"/>
        <v>-2.53E-2</v>
      </c>
      <c r="P56" s="2872">
        <f t="shared" si="188"/>
        <v>-3.0200000000000001E-2</v>
      </c>
      <c r="Q56" s="2872">
        <f t="shared" si="188"/>
        <v>1.52E-2</v>
      </c>
      <c r="R56" s="2870"/>
      <c r="S56" s="2871">
        <f>B56/B57-1</f>
        <v>-2.4137638417038754E-2</v>
      </c>
      <c r="T56" s="2872">
        <f>C56/C57-1</f>
        <v>-2.248773845264096E-2</v>
      </c>
      <c r="U56" s="2872">
        <f>E56/E57-1</f>
        <v>-2.7323794502735366E-2</v>
      </c>
      <c r="V56" s="2872">
        <f>F56/F57-1</f>
        <v>1.7910204153148035E-2</v>
      </c>
      <c r="X56" s="2855"/>
      <c r="Y56" s="2855"/>
      <c r="Z56" s="2855"/>
    </row>
    <row r="57" spans="1:26" ht="13.5" thickBot="1">
      <c r="A57" s="2866" t="s">
        <v>2563</v>
      </c>
      <c r="B57" s="2916">
        <v>214</v>
      </c>
      <c r="C57" s="2916">
        <v>188</v>
      </c>
      <c r="D57" s="2916">
        <f t="shared" si="186"/>
        <v>188</v>
      </c>
      <c r="E57" s="2916">
        <v>289</v>
      </c>
      <c r="F57" s="2917">
        <v>166</v>
      </c>
      <c r="G57" s="3588">
        <v>2008</v>
      </c>
      <c r="H57" s="2890">
        <v>4</v>
      </c>
      <c r="I57" s="2890">
        <v>1.73</v>
      </c>
      <c r="J57" s="2890">
        <v>0.03</v>
      </c>
      <c r="K57" s="2890">
        <v>2.59</v>
      </c>
      <c r="L57" s="2891">
        <v>-1.66</v>
      </c>
      <c r="N57" s="2869">
        <f t="shared" si="188"/>
        <v>1.7299999999999999E-2</v>
      </c>
      <c r="O57" s="2855">
        <f t="shared" si="188"/>
        <v>2.9999999999999997E-4</v>
      </c>
      <c r="P57" s="2855">
        <f t="shared" si="188"/>
        <v>2.5899999999999999E-2</v>
      </c>
      <c r="Q57" s="2855">
        <f t="shared" si="188"/>
        <v>-1.66E-2</v>
      </c>
      <c r="R57" s="2870"/>
      <c r="S57" s="2879"/>
      <c r="T57" s="2880"/>
      <c r="U57" s="2880"/>
      <c r="V57" s="2880"/>
      <c r="X57" s="2880"/>
      <c r="Y57" s="2880"/>
      <c r="Z57" s="2880"/>
    </row>
    <row r="58" spans="1:26">
      <c r="A58" s="2866" t="s">
        <v>2564</v>
      </c>
      <c r="B58" s="2867">
        <f t="shared" ref="B58:C60" si="204">B57/(1+N57)</f>
        <v>210.36075887152265</v>
      </c>
      <c r="C58" s="2867">
        <f t="shared" si="204"/>
        <v>187.94361691492554</v>
      </c>
      <c r="D58" s="2867">
        <f t="shared" si="186"/>
        <v>187.94361691492554</v>
      </c>
      <c r="E58" s="2867">
        <f t="shared" ref="E58:F60" si="205">E57/(1+P57)</f>
        <v>281.70386977288234</v>
      </c>
      <c r="F58" s="2867">
        <f t="shared" si="205"/>
        <v>168.80211511083994</v>
      </c>
      <c r="G58" s="3586">
        <v>2008</v>
      </c>
      <c r="H58" s="2893">
        <v>3</v>
      </c>
      <c r="I58" s="2893">
        <v>1.96</v>
      </c>
      <c r="J58" s="2893">
        <v>2.36</v>
      </c>
      <c r="K58" s="2893">
        <v>1.82</v>
      </c>
      <c r="L58" s="2894">
        <v>2.2200000000000002</v>
      </c>
      <c r="N58" s="2869">
        <f t="shared" si="188"/>
        <v>1.9599999999999999E-2</v>
      </c>
      <c r="O58" s="2855">
        <f t="shared" si="188"/>
        <v>2.3599999999999999E-2</v>
      </c>
      <c r="P58" s="2855">
        <f t="shared" si="188"/>
        <v>1.8200000000000001E-2</v>
      </c>
      <c r="Q58" s="2855">
        <f t="shared" si="188"/>
        <v>2.2200000000000001E-2</v>
      </c>
      <c r="R58" s="2870"/>
      <c r="S58" s="2869"/>
      <c r="T58" s="2855"/>
      <c r="U58" s="2855"/>
      <c r="V58" s="2855"/>
    </row>
    <row r="59" spans="1:26">
      <c r="A59" s="2866" t="s">
        <v>2565</v>
      </c>
      <c r="B59" s="2867">
        <f t="shared" si="204"/>
        <v>206.31694671589116</v>
      </c>
      <c r="C59" s="2867">
        <f t="shared" si="204"/>
        <v>183.61041121036101</v>
      </c>
      <c r="D59" s="2867">
        <f t="shared" si="186"/>
        <v>183.61041121036101</v>
      </c>
      <c r="E59" s="2867">
        <f t="shared" si="205"/>
        <v>276.66850301795557</v>
      </c>
      <c r="F59" s="2867">
        <f t="shared" si="205"/>
        <v>165.1360938278614</v>
      </c>
      <c r="G59" s="3586">
        <v>2008</v>
      </c>
      <c r="H59" s="2881">
        <v>2</v>
      </c>
      <c r="I59" s="2881">
        <v>4.93</v>
      </c>
      <c r="J59" s="2881">
        <v>7.38</v>
      </c>
      <c r="K59" s="2881">
        <v>3.98</v>
      </c>
      <c r="L59" s="2882">
        <v>6.86</v>
      </c>
      <c r="N59" s="2869">
        <f t="shared" si="188"/>
        <v>4.9299999999999997E-2</v>
      </c>
      <c r="O59" s="2855">
        <f t="shared" si="188"/>
        <v>7.3800000000000004E-2</v>
      </c>
      <c r="P59" s="2855">
        <f t="shared" si="188"/>
        <v>3.9800000000000002E-2</v>
      </c>
      <c r="Q59" s="2855">
        <f t="shared" si="188"/>
        <v>6.8600000000000008E-2</v>
      </c>
      <c r="R59" s="2870"/>
      <c r="S59" s="2869"/>
      <c r="T59" s="2855"/>
      <c r="U59" s="2855"/>
      <c r="V59" s="2855"/>
    </row>
    <row r="60" spans="1:26" s="2922" customFormat="1" ht="13.5" thickBot="1">
      <c r="A60" s="2866" t="s">
        <v>2566</v>
      </c>
      <c r="B60" s="2919">
        <f t="shared" si="204"/>
        <v>196.62341248059772</v>
      </c>
      <c r="C60" s="2919">
        <f t="shared" si="204"/>
        <v>170.99125648199012</v>
      </c>
      <c r="D60" s="2919">
        <f t="shared" si="186"/>
        <v>170.99125648199012</v>
      </c>
      <c r="E60" s="2919">
        <f t="shared" si="205"/>
        <v>266.07857570490052</v>
      </c>
      <c r="F60" s="2919">
        <f t="shared" si="205"/>
        <v>154.53499328828505</v>
      </c>
      <c r="G60" s="3589">
        <v>2008</v>
      </c>
      <c r="H60" s="2920">
        <v>1</v>
      </c>
      <c r="I60" s="2920">
        <v>4.1399999999999997</v>
      </c>
      <c r="J60" s="2920">
        <v>3.45</v>
      </c>
      <c r="K60" s="2920">
        <v>4.95</v>
      </c>
      <c r="L60" s="2921">
        <v>4.82</v>
      </c>
      <c r="N60" s="2923">
        <f t="shared" si="188"/>
        <v>4.1399999999999999E-2</v>
      </c>
      <c r="O60" s="2924">
        <f t="shared" si="188"/>
        <v>3.4500000000000003E-2</v>
      </c>
      <c r="P60" s="2924">
        <f t="shared" si="188"/>
        <v>4.9500000000000002E-2</v>
      </c>
      <c r="Q60" s="2924">
        <f t="shared" si="188"/>
        <v>4.82E-2</v>
      </c>
      <c r="R60" s="2925"/>
      <c r="S60" s="2923">
        <f>B60/B61-1</f>
        <v>4.5869215322328349E-2</v>
      </c>
      <c r="T60" s="2924">
        <f>C60/C61-1</f>
        <v>3.6310645345394743E-2</v>
      </c>
      <c r="U60" s="2924">
        <f>E60/E61-1</f>
        <v>4.7553447657088688E-2</v>
      </c>
      <c r="V60" s="2924">
        <f>F60/F61-1</f>
        <v>4.4155360055980086E-2</v>
      </c>
      <c r="X60" s="2924"/>
      <c r="Y60" s="2924"/>
      <c r="Z60" s="2924"/>
    </row>
    <row r="61" spans="1:26" ht="13.5" thickBot="1">
      <c r="A61" s="2866" t="s">
        <v>2567</v>
      </c>
      <c r="B61" s="2888">
        <v>188</v>
      </c>
      <c r="C61" s="2888">
        <v>165</v>
      </c>
      <c r="D61" s="2888">
        <f t="shared" si="186"/>
        <v>165</v>
      </c>
      <c r="E61" s="2888">
        <v>254</v>
      </c>
      <c r="F61" s="2889">
        <v>148</v>
      </c>
      <c r="G61" s="3588">
        <v>2007</v>
      </c>
      <c r="H61" s="2926">
        <v>4</v>
      </c>
      <c r="I61" s="2926">
        <v>5.51</v>
      </c>
      <c r="J61" s="2926">
        <v>4.8899999999999997</v>
      </c>
      <c r="K61" s="2926">
        <v>6.43</v>
      </c>
      <c r="L61" s="2927">
        <v>5.36</v>
      </c>
      <c r="N61" s="2928">
        <f t="shared" ref="N61:O64" si="206">B61/B62-1</f>
        <v>4.1339718365245526E-2</v>
      </c>
      <c r="O61" s="2929">
        <f t="shared" si="206"/>
        <v>4.0324492593776018E-2</v>
      </c>
      <c r="P61" s="2929">
        <f t="shared" ref="P61:Q64" si="207">E61/E62-1</f>
        <v>6.1625555347990968E-2</v>
      </c>
      <c r="Q61" s="2929">
        <f t="shared" si="207"/>
        <v>4.6757569250590603E-2</v>
      </c>
      <c r="R61" s="2870"/>
      <c r="S61" s="2879"/>
      <c r="T61" s="2880"/>
      <c r="U61" s="2880"/>
      <c r="V61" s="2880"/>
      <c r="X61" s="2880"/>
      <c r="Y61" s="2880"/>
      <c r="Z61" s="2880"/>
    </row>
    <row r="62" spans="1:26">
      <c r="A62" s="2866" t="s">
        <v>2568</v>
      </c>
      <c r="B62" s="2867">
        <f t="shared" ref="B62:C64" si="208">B63+(B$61-B$65)*I62/SUM(I$61:I$64)</f>
        <v>180.5366651097618</v>
      </c>
      <c r="C62" s="2867">
        <f t="shared" si="208"/>
        <v>158.60435967302453</v>
      </c>
      <c r="D62" s="2867">
        <f t="shared" si="186"/>
        <v>158.60435967302453</v>
      </c>
      <c r="E62" s="2867">
        <f t="shared" ref="E62:F64" si="209">E63+(E$61-E$65)*K62/SUM(K$61:K$64)</f>
        <v>239.25573260785075</v>
      </c>
      <c r="F62" s="2867">
        <f t="shared" si="209"/>
        <v>141.38899430740037</v>
      </c>
      <c r="G62" s="3586">
        <v>2007</v>
      </c>
      <c r="H62" s="2893">
        <v>3</v>
      </c>
      <c r="I62" s="2893">
        <v>8.65</v>
      </c>
      <c r="J62" s="2893">
        <v>8.06</v>
      </c>
      <c r="K62" s="2893">
        <v>9.94</v>
      </c>
      <c r="L62" s="2894">
        <v>5.8</v>
      </c>
      <c r="N62" s="2928">
        <f t="shared" si="206"/>
        <v>6.940217571740015E-2</v>
      </c>
      <c r="O62" s="2929">
        <f t="shared" si="206"/>
        <v>7.1197482471153428E-2</v>
      </c>
      <c r="P62" s="2929">
        <f t="shared" si="207"/>
        <v>0.10529679922579582</v>
      </c>
      <c r="Q62" s="2929">
        <f t="shared" si="207"/>
        <v>5.3292245059512133E-2</v>
      </c>
      <c r="R62" s="2870"/>
      <c r="S62" s="2869"/>
      <c r="T62" s="2855"/>
      <c r="U62" s="2855"/>
      <c r="V62" s="2855"/>
      <c r="X62" s="2930"/>
      <c r="Y62" s="2930"/>
      <c r="Z62" s="2930"/>
    </row>
    <row r="63" spans="1:26">
      <c r="A63" s="2866" t="s">
        <v>2569</v>
      </c>
      <c r="B63" s="2867">
        <f t="shared" si="208"/>
        <v>168.82017748715555</v>
      </c>
      <c r="C63" s="2867">
        <f t="shared" si="208"/>
        <v>148.06267029972753</v>
      </c>
      <c r="D63" s="2867">
        <f t="shared" si="186"/>
        <v>148.06267029972753</v>
      </c>
      <c r="E63" s="2867">
        <f t="shared" si="209"/>
        <v>216.46288379323747</v>
      </c>
      <c r="F63" s="2867">
        <f t="shared" si="209"/>
        <v>134.23529411764704</v>
      </c>
      <c r="G63" s="3586">
        <v>2007</v>
      </c>
      <c r="H63" s="2881">
        <v>2</v>
      </c>
      <c r="I63" s="2881">
        <v>3.67</v>
      </c>
      <c r="J63" s="2881">
        <v>2.3199999999999998</v>
      </c>
      <c r="K63" s="2881">
        <v>5.0199999999999996</v>
      </c>
      <c r="L63" s="2882">
        <v>6.71</v>
      </c>
      <c r="N63" s="2928">
        <f t="shared" si="206"/>
        <v>3.0339138143848032E-2</v>
      </c>
      <c r="O63" s="2929">
        <f t="shared" si="206"/>
        <v>2.0922341588790472E-2</v>
      </c>
      <c r="P63" s="2929">
        <f t="shared" si="207"/>
        <v>5.6164796592717003E-2</v>
      </c>
      <c r="Q63" s="2929">
        <f t="shared" si="207"/>
        <v>6.5704536723887319E-2</v>
      </c>
      <c r="R63" s="2870"/>
      <c r="S63" s="2869"/>
      <c r="T63" s="2855"/>
      <c r="U63" s="2855"/>
      <c r="V63" s="2855"/>
      <c r="X63" s="2930"/>
      <c r="Y63" s="2930"/>
      <c r="Z63" s="2930"/>
    </row>
    <row r="64" spans="1:26">
      <c r="A64" s="2866" t="s">
        <v>2570</v>
      </c>
      <c r="B64" s="2867">
        <f t="shared" si="208"/>
        <v>163.84913591779542</v>
      </c>
      <c r="C64" s="2867">
        <f t="shared" si="208"/>
        <v>145.0283378746594</v>
      </c>
      <c r="D64" s="2867">
        <f t="shared" si="186"/>
        <v>145.0283378746594</v>
      </c>
      <c r="E64" s="2867">
        <f t="shared" si="209"/>
        <v>204.95180722891567</v>
      </c>
      <c r="F64" s="2867">
        <f t="shared" si="209"/>
        <v>125.95920303605313</v>
      </c>
      <c r="G64" s="3589">
        <v>2007</v>
      </c>
      <c r="H64" s="2868">
        <v>1</v>
      </c>
      <c r="I64" s="2868">
        <v>3.58</v>
      </c>
      <c r="J64" s="2868">
        <v>3.08</v>
      </c>
      <c r="K64" s="2868">
        <v>4.34</v>
      </c>
      <c r="L64" s="2874">
        <v>3.21</v>
      </c>
      <c r="N64" s="2931">
        <f t="shared" si="206"/>
        <v>3.0497710174814063E-2</v>
      </c>
      <c r="O64" s="2932">
        <f t="shared" si="206"/>
        <v>2.8569772160704998E-2</v>
      </c>
      <c r="P64" s="2932">
        <f t="shared" si="207"/>
        <v>5.1034908866234296E-2</v>
      </c>
      <c r="Q64" s="2932">
        <f t="shared" si="207"/>
        <v>3.245248390207478E-2</v>
      </c>
      <c r="R64" s="2870"/>
      <c r="S64" s="2871">
        <f>B64/B65-1</f>
        <v>3.0497710174814063E-2</v>
      </c>
      <c r="T64" s="2872">
        <f>C64/C65-1</f>
        <v>2.8569772160704998E-2</v>
      </c>
      <c r="U64" s="2872">
        <f>E64/E65-1</f>
        <v>5.1034908866234296E-2</v>
      </c>
      <c r="V64" s="2872">
        <f>F64/F65-1</f>
        <v>3.245248390207478E-2</v>
      </c>
      <c r="X64" s="2930"/>
      <c r="Y64" s="2930"/>
      <c r="Z64" s="2930"/>
    </row>
    <row r="65" spans="1:26" ht="13.5" thickBot="1">
      <c r="A65" s="2866" t="s">
        <v>2571</v>
      </c>
      <c r="B65" s="2895">
        <v>159</v>
      </c>
      <c r="C65" s="2895">
        <v>141</v>
      </c>
      <c r="D65" s="2895">
        <f t="shared" si="186"/>
        <v>141</v>
      </c>
      <c r="E65" s="2895">
        <v>195</v>
      </c>
      <c r="F65" s="2896">
        <v>122</v>
      </c>
      <c r="G65" s="3588">
        <v>2006</v>
      </c>
      <c r="H65" s="2890">
        <v>4</v>
      </c>
      <c r="I65" s="2890">
        <v>3.79</v>
      </c>
      <c r="J65" s="2890">
        <v>2.21</v>
      </c>
      <c r="K65" s="2890">
        <v>5.65</v>
      </c>
      <c r="L65" s="2891">
        <v>5.41</v>
      </c>
      <c r="N65" s="2928">
        <f t="shared" ref="N65:O68" si="210">I65/SUM(I$65:I$68)*(B$65/B$69-1)</f>
        <v>7.245466462748526E-2</v>
      </c>
      <c r="O65" s="2929">
        <f t="shared" si="210"/>
        <v>2.3237230038062766E-2</v>
      </c>
      <c r="P65" s="2929">
        <f t="shared" ref="P65:Q68" si="211">K65/SUM(K$65:K$68)*(E$65/E$69-1)</f>
        <v>0.16146893866323722</v>
      </c>
      <c r="Q65" s="2929">
        <f t="shared" si="211"/>
        <v>5.0755230321793784E-2</v>
      </c>
      <c r="R65" s="2870"/>
      <c r="S65" s="2879"/>
      <c r="T65" s="2880"/>
      <c r="U65" s="2880"/>
      <c r="V65" s="2880"/>
      <c r="X65" s="2930"/>
      <c r="Y65" s="2930"/>
      <c r="Z65" s="2930"/>
    </row>
    <row r="66" spans="1:26">
      <c r="A66" s="2866" t="s">
        <v>2572</v>
      </c>
      <c r="B66" s="2867">
        <f t="shared" ref="B66:C68" si="212">B67+(B$65-B$69)*I66/SUM(I$65:I$68)</f>
        <v>149.00125628140702</v>
      </c>
      <c r="C66" s="2867">
        <f t="shared" si="212"/>
        <v>137.95592286501378</v>
      </c>
      <c r="D66" s="2867">
        <f t="shared" si="186"/>
        <v>137.95592286501378</v>
      </c>
      <c r="E66" s="2867">
        <f t="shared" ref="E66:F68" si="213">E67+(E$65-E$69)*K66/SUM(K$65:K$68)</f>
        <v>169.97231450719823</v>
      </c>
      <c r="F66" s="2867">
        <f t="shared" si="213"/>
        <v>116.21390374331551</v>
      </c>
      <c r="G66" s="3586">
        <v>2006</v>
      </c>
      <c r="H66" s="2893">
        <v>3</v>
      </c>
      <c r="I66" s="2893">
        <v>0.92</v>
      </c>
      <c r="J66" s="2893">
        <v>1.08</v>
      </c>
      <c r="K66" s="2893">
        <v>0.73</v>
      </c>
      <c r="L66" s="2894">
        <v>1.08</v>
      </c>
      <c r="N66" s="2928">
        <f t="shared" si="210"/>
        <v>1.7587939698492462E-2</v>
      </c>
      <c r="O66" s="2929">
        <f t="shared" si="210"/>
        <v>1.1355750425840628E-2</v>
      </c>
      <c r="P66" s="2929">
        <f t="shared" si="211"/>
        <v>2.0862358446754544E-2</v>
      </c>
      <c r="Q66" s="2929">
        <f t="shared" si="211"/>
        <v>1.0132282578103011E-2</v>
      </c>
      <c r="R66" s="2870"/>
      <c r="S66" s="2869"/>
      <c r="T66" s="2855"/>
      <c r="U66" s="2855"/>
      <c r="V66" s="2855"/>
      <c r="X66" s="2930"/>
      <c r="Y66" s="2930"/>
      <c r="Z66" s="2930"/>
    </row>
    <row r="67" spans="1:26">
      <c r="A67" s="2866" t="s">
        <v>2573</v>
      </c>
      <c r="B67" s="2867">
        <f t="shared" si="212"/>
        <v>146.57412060301507</v>
      </c>
      <c r="C67" s="2867">
        <f t="shared" si="212"/>
        <v>136.46831955922866</v>
      </c>
      <c r="D67" s="2867">
        <f t="shared" si="186"/>
        <v>136.46831955922866</v>
      </c>
      <c r="E67" s="2867">
        <f t="shared" si="213"/>
        <v>166.73864894795128</v>
      </c>
      <c r="F67" s="2867">
        <f t="shared" si="213"/>
        <v>115.05882352941177</v>
      </c>
      <c r="G67" s="3586">
        <v>2006</v>
      </c>
      <c r="H67" s="2881">
        <v>2</v>
      </c>
      <c r="I67" s="2881">
        <v>0.96</v>
      </c>
      <c r="J67" s="2881">
        <v>0.25</v>
      </c>
      <c r="K67" s="2881">
        <v>1.9</v>
      </c>
      <c r="L67" s="2882">
        <v>0.95</v>
      </c>
      <c r="N67" s="2928">
        <f t="shared" si="210"/>
        <v>1.8352632728861701E-2</v>
      </c>
      <c r="O67" s="2929">
        <f t="shared" si="210"/>
        <v>2.6286459319075526E-3</v>
      </c>
      <c r="P67" s="2929">
        <f t="shared" si="211"/>
        <v>5.4299289107991269E-2</v>
      </c>
      <c r="Q67" s="2929">
        <f t="shared" si="211"/>
        <v>8.9126559714794995E-3</v>
      </c>
      <c r="R67" s="2870"/>
      <c r="S67" s="2869"/>
      <c r="T67" s="2855"/>
      <c r="U67" s="2855"/>
      <c r="V67" s="2855"/>
      <c r="X67" s="2930"/>
      <c r="Y67" s="2930"/>
      <c r="Z67" s="2930"/>
    </row>
    <row r="68" spans="1:26">
      <c r="A68" s="2866" t="s">
        <v>2574</v>
      </c>
      <c r="B68" s="2867">
        <f t="shared" si="212"/>
        <v>144.04145728643215</v>
      </c>
      <c r="C68" s="2867">
        <f t="shared" si="212"/>
        <v>136.12396694214877</v>
      </c>
      <c r="D68" s="2867">
        <f t="shared" si="186"/>
        <v>136.12396694214877</v>
      </c>
      <c r="E68" s="2867">
        <f t="shared" si="213"/>
        <v>158.32225913621264</v>
      </c>
      <c r="F68" s="2867">
        <f t="shared" si="213"/>
        <v>114.04278074866311</v>
      </c>
      <c r="G68" s="3589">
        <v>2006</v>
      </c>
      <c r="H68" s="2868">
        <v>1</v>
      </c>
      <c r="I68" s="2868">
        <v>2.29</v>
      </c>
      <c r="J68" s="2868">
        <v>3.72</v>
      </c>
      <c r="K68" s="2868">
        <v>0.75</v>
      </c>
      <c r="L68" s="2874">
        <v>0.04</v>
      </c>
      <c r="N68" s="2931">
        <f t="shared" si="210"/>
        <v>4.3778675988638847E-2</v>
      </c>
      <c r="O68" s="2932">
        <f t="shared" si="210"/>
        <v>3.9114251466784385E-2</v>
      </c>
      <c r="P68" s="2932">
        <f t="shared" si="211"/>
        <v>2.1433929911049188E-2</v>
      </c>
      <c r="Q68" s="2932">
        <f t="shared" si="211"/>
        <v>3.7526972511492629E-4</v>
      </c>
      <c r="R68" s="2870"/>
      <c r="S68" s="2871">
        <f>B68/B69-1</f>
        <v>4.3778675988638716E-2</v>
      </c>
      <c r="T68" s="2872">
        <f>C68/C69-1</f>
        <v>3.91142514667846E-2</v>
      </c>
      <c r="U68" s="2872">
        <f>E68/E69-1</f>
        <v>2.143392991104931E-2</v>
      </c>
      <c r="V68" s="2872">
        <f>F68/F69-1</f>
        <v>3.7526972511492396E-4</v>
      </c>
      <c r="X68" s="2930"/>
      <c r="Y68" s="2930"/>
      <c r="Z68" s="2930"/>
    </row>
    <row r="69" spans="1:26" ht="13.5" thickBot="1">
      <c r="A69" s="2866" t="s">
        <v>2575</v>
      </c>
      <c r="B69" s="2895">
        <v>138</v>
      </c>
      <c r="C69" s="2895">
        <v>131</v>
      </c>
      <c r="D69" s="2895">
        <f t="shared" si="186"/>
        <v>131</v>
      </c>
      <c r="E69" s="2895">
        <v>155</v>
      </c>
      <c r="F69" s="2896">
        <v>114</v>
      </c>
      <c r="G69" s="3588">
        <v>2005</v>
      </c>
      <c r="H69" s="2890">
        <v>4</v>
      </c>
      <c r="I69" s="2890">
        <v>3.29</v>
      </c>
      <c r="J69" s="2890">
        <v>1.44</v>
      </c>
      <c r="K69" s="2890">
        <v>0.66</v>
      </c>
      <c r="L69" s="2891">
        <v>7.78</v>
      </c>
      <c r="N69" s="2928">
        <f t="shared" ref="N69:O72" si="214">I69/SUM(I$69:I$72)*(B$69/B$73-1)</f>
        <v>9.9404603216919935E-2</v>
      </c>
      <c r="O69" s="2929">
        <f t="shared" si="214"/>
        <v>4.7636550760861554E-2</v>
      </c>
      <c r="P69" s="2929">
        <f t="shared" ref="P69:Q72" si="215">K69/SUM(K$69:K$72)*(E$69/E$73-1)</f>
        <v>8.3756345177664976E-2</v>
      </c>
      <c r="Q69" s="2929">
        <f t="shared" si="215"/>
        <v>5.2148766661559584E-2</v>
      </c>
      <c r="R69" s="2870"/>
      <c r="S69" s="2879"/>
      <c r="T69" s="2880"/>
      <c r="U69" s="2880"/>
      <c r="V69" s="2880"/>
      <c r="X69" s="2930"/>
      <c r="Y69" s="2930"/>
      <c r="Z69" s="2930"/>
    </row>
    <row r="70" spans="1:26">
      <c r="A70" s="2866" t="s">
        <v>2576</v>
      </c>
      <c r="B70" s="2867">
        <f t="shared" ref="B70:C72" si="216">B71+(B$69-B$73)*I70/SUM(I$69:I$72)</f>
        <v>125.9720430107527</v>
      </c>
      <c r="C70" s="2867">
        <f t="shared" si="216"/>
        <v>125.1883408071749</v>
      </c>
      <c r="D70" s="2867">
        <f t="shared" si="186"/>
        <v>125.1883408071749</v>
      </c>
      <c r="E70" s="2867">
        <f t="shared" ref="E70:F72" si="217">E71+(E$69-E$73)*K70/SUM(K$69:K$72)</f>
        <v>144.61421319796952</v>
      </c>
      <c r="F70" s="2867">
        <f t="shared" si="217"/>
        <v>108.42008196721311</v>
      </c>
      <c r="G70" s="3586">
        <v>2005</v>
      </c>
      <c r="H70" s="2893">
        <v>3</v>
      </c>
      <c r="I70" s="2893">
        <v>0.46</v>
      </c>
      <c r="J70" s="2893">
        <v>0.32</v>
      </c>
      <c r="K70" s="2893">
        <v>0.42</v>
      </c>
      <c r="L70" s="2894">
        <v>0.64</v>
      </c>
      <c r="N70" s="2928">
        <f t="shared" si="214"/>
        <v>1.3898515951301874E-2</v>
      </c>
      <c r="O70" s="2929">
        <f t="shared" si="214"/>
        <v>1.0585900169080346E-2</v>
      </c>
      <c r="P70" s="2929">
        <f t="shared" si="215"/>
        <v>5.3299492385786795E-2</v>
      </c>
      <c r="Q70" s="2929">
        <f t="shared" si="215"/>
        <v>4.2898728359123568E-3</v>
      </c>
      <c r="R70" s="2870"/>
      <c r="S70" s="2869"/>
      <c r="T70" s="2855"/>
      <c r="U70" s="2855"/>
      <c r="V70" s="2855"/>
      <c r="X70" s="2930"/>
      <c r="Y70" s="2930"/>
      <c r="Z70" s="2930"/>
    </row>
    <row r="71" spans="1:26">
      <c r="A71" s="2866" t="s">
        <v>2577</v>
      </c>
      <c r="B71" s="2867">
        <f t="shared" si="216"/>
        <v>124.29032258064517</v>
      </c>
      <c r="C71" s="2867">
        <f t="shared" si="216"/>
        <v>123.8968609865471</v>
      </c>
      <c r="D71" s="2867">
        <f t="shared" si="186"/>
        <v>123.8968609865471</v>
      </c>
      <c r="E71" s="2867">
        <f t="shared" si="217"/>
        <v>138.00507614213197</v>
      </c>
      <c r="F71" s="2867">
        <f t="shared" si="217"/>
        <v>107.96106557377048</v>
      </c>
      <c r="G71" s="3586">
        <v>2005</v>
      </c>
      <c r="H71" s="2881">
        <v>2</v>
      </c>
      <c r="I71" s="2881">
        <v>0.47</v>
      </c>
      <c r="J71" s="2881">
        <v>0.1</v>
      </c>
      <c r="K71" s="2881">
        <v>0.52</v>
      </c>
      <c r="L71" s="2882">
        <v>0.79</v>
      </c>
      <c r="N71" s="2928">
        <f t="shared" si="214"/>
        <v>1.420065760241713E-2</v>
      </c>
      <c r="O71" s="2929">
        <f t="shared" si="214"/>
        <v>3.3080938028376083E-3</v>
      </c>
      <c r="P71" s="2929">
        <f t="shared" si="215"/>
        <v>6.598984771573603E-2</v>
      </c>
      <c r="Q71" s="2929">
        <f t="shared" si="215"/>
        <v>5.2953117818293153E-3</v>
      </c>
      <c r="R71" s="2870"/>
      <c r="S71" s="2869"/>
      <c r="T71" s="2855"/>
      <c r="U71" s="2855"/>
      <c r="V71" s="2855"/>
      <c r="X71" s="2930"/>
      <c r="Y71" s="2930"/>
      <c r="Z71" s="2930"/>
    </row>
    <row r="72" spans="1:26">
      <c r="A72" s="2866" t="s">
        <v>2578</v>
      </c>
      <c r="B72" s="2867">
        <f t="shared" si="216"/>
        <v>122.57204301075269</v>
      </c>
      <c r="C72" s="2867">
        <f t="shared" si="216"/>
        <v>123.4932735426009</v>
      </c>
      <c r="D72" s="2867">
        <f t="shared" si="186"/>
        <v>123.4932735426009</v>
      </c>
      <c r="E72" s="2867">
        <f t="shared" si="217"/>
        <v>129.82233502538071</v>
      </c>
      <c r="F72" s="2867">
        <f t="shared" si="217"/>
        <v>107.39446721311475</v>
      </c>
      <c r="G72" s="3589">
        <v>2005</v>
      </c>
      <c r="H72" s="2868">
        <v>1</v>
      </c>
      <c r="I72" s="2868">
        <v>0.43</v>
      </c>
      <c r="J72" s="2868">
        <v>0.37</v>
      </c>
      <c r="K72" s="2868">
        <v>0.37</v>
      </c>
      <c r="L72" s="2874">
        <v>0.55000000000000004</v>
      </c>
      <c r="N72" s="2931">
        <f t="shared" si="214"/>
        <v>1.2992090997956099E-2</v>
      </c>
      <c r="O72" s="2932">
        <f t="shared" si="214"/>
        <v>1.2239947070499151E-2</v>
      </c>
      <c r="P72" s="2932">
        <f t="shared" si="215"/>
        <v>4.6954314720812178E-2</v>
      </c>
      <c r="Q72" s="2932">
        <f t="shared" si="215"/>
        <v>3.6866094683621815E-3</v>
      </c>
      <c r="R72" s="2870"/>
      <c r="S72" s="2871">
        <f>B72/B73-1</f>
        <v>1.2992090997956174E-2</v>
      </c>
      <c r="T72" s="2872">
        <f>C72/C73-1</f>
        <v>1.2239947070499246E-2</v>
      </c>
      <c r="U72" s="2872">
        <f>E72/E73-1</f>
        <v>4.695431472081224E-2</v>
      </c>
      <c r="V72" s="2872">
        <f>F72/F73-1</f>
        <v>3.6866094683620787E-3</v>
      </c>
      <c r="X72" s="2930"/>
      <c r="Y72" s="2930"/>
      <c r="Z72" s="2930"/>
    </row>
    <row r="73" spans="1:26" ht="13.5" thickBot="1">
      <c r="A73" s="2866" t="s">
        <v>2579</v>
      </c>
      <c r="B73" s="2916">
        <v>121</v>
      </c>
      <c r="C73" s="2916">
        <v>122</v>
      </c>
      <c r="D73" s="2916">
        <f t="shared" si="186"/>
        <v>122</v>
      </c>
      <c r="E73" s="2916">
        <v>124</v>
      </c>
      <c r="F73" s="2917">
        <v>107</v>
      </c>
      <c r="G73" s="3588">
        <v>2004</v>
      </c>
      <c r="H73" s="2890">
        <v>4</v>
      </c>
      <c r="I73" s="2890">
        <v>0.33</v>
      </c>
      <c r="J73" s="2890">
        <v>0.5</v>
      </c>
      <c r="K73" s="2890">
        <v>0.5</v>
      </c>
      <c r="L73" s="2891">
        <v>0</v>
      </c>
      <c r="N73" s="2928">
        <f t="shared" ref="N73:O76" si="218">I73/SUM(I$73:I$76)*(B$73/B$77-1)</f>
        <v>1.3391770148526898E-2</v>
      </c>
      <c r="O73" s="2929">
        <f t="shared" si="218"/>
        <v>1.063264221158958E-2</v>
      </c>
      <c r="P73" s="2929">
        <f t="shared" ref="P73:Q76" si="219">K73/SUM(K$73:K$76)*(E$73/E$77-1)</f>
        <v>2.2244466688911134E-2</v>
      </c>
      <c r="Q73" s="2929">
        <f t="shared" si="219"/>
        <v>0</v>
      </c>
      <c r="R73" s="2870"/>
      <c r="S73" s="2879"/>
      <c r="T73" s="2880"/>
      <c r="U73" s="2880"/>
      <c r="V73" s="2880"/>
      <c r="X73" s="2930"/>
      <c r="Y73" s="2930"/>
      <c r="Z73" s="2930"/>
    </row>
    <row r="74" spans="1:26">
      <c r="A74" s="2866" t="s">
        <v>2580</v>
      </c>
      <c r="B74" s="2867">
        <f t="shared" ref="B74:C76" si="220">B75+(B$73-B$77)*I74/SUM(I$73:I$76)</f>
        <v>119.51351351351352</v>
      </c>
      <c r="C74" s="2867">
        <f t="shared" si="220"/>
        <v>120.7878787878788</v>
      </c>
      <c r="D74" s="2867">
        <f t="shared" si="186"/>
        <v>120.7878787878788</v>
      </c>
      <c r="E74" s="2867">
        <f t="shared" ref="E74:F76" si="221">E75+(E$73-E$77)*K74/SUM(K$73:K$76)</f>
        <v>121.5975975975976</v>
      </c>
      <c r="F74" s="2867">
        <f t="shared" si="221"/>
        <v>107</v>
      </c>
      <c r="G74" s="3586">
        <v>2004</v>
      </c>
      <c r="H74" s="2893">
        <v>3</v>
      </c>
      <c r="I74" s="2893">
        <v>0.56000000000000005</v>
      </c>
      <c r="J74" s="2893">
        <v>0.8</v>
      </c>
      <c r="K74" s="2893">
        <v>0.83</v>
      </c>
      <c r="L74" s="2894">
        <v>0.06</v>
      </c>
      <c r="N74" s="2928">
        <f t="shared" si="218"/>
        <v>2.2725428130833527E-2</v>
      </c>
      <c r="O74" s="2929">
        <f t="shared" si="218"/>
        <v>1.7012227538543329E-2</v>
      </c>
      <c r="P74" s="2929">
        <f t="shared" si="219"/>
        <v>3.6925814703592477E-2</v>
      </c>
      <c r="Q74" s="2929">
        <f t="shared" si="219"/>
        <v>2.8846153846153744E-2</v>
      </c>
      <c r="R74" s="2870"/>
      <c r="S74" s="2869"/>
      <c r="T74" s="2855"/>
      <c r="U74" s="2855"/>
      <c r="V74" s="2855"/>
      <c r="X74" s="2930"/>
      <c r="Y74" s="2930"/>
      <c r="Z74" s="2930"/>
    </row>
    <row r="75" spans="1:26">
      <c r="A75" s="2866" t="s">
        <v>2581</v>
      </c>
      <c r="B75" s="2867">
        <f t="shared" si="220"/>
        <v>116.99099099099099</v>
      </c>
      <c r="C75" s="2867">
        <f t="shared" si="220"/>
        <v>118.84848484848486</v>
      </c>
      <c r="D75" s="2867">
        <f t="shared" si="186"/>
        <v>118.84848484848486</v>
      </c>
      <c r="E75" s="2867">
        <f t="shared" si="221"/>
        <v>117.60960960960961</v>
      </c>
      <c r="F75" s="2867">
        <f t="shared" si="221"/>
        <v>104</v>
      </c>
      <c r="G75" s="3586">
        <v>2004</v>
      </c>
      <c r="H75" s="2881">
        <v>2</v>
      </c>
      <c r="I75" s="2881">
        <v>1</v>
      </c>
      <c r="J75" s="2881">
        <v>1.5</v>
      </c>
      <c r="K75" s="2881">
        <v>1.5</v>
      </c>
      <c r="L75" s="2882">
        <v>0</v>
      </c>
      <c r="N75" s="2928">
        <f t="shared" si="218"/>
        <v>4.0581121662202721E-2</v>
      </c>
      <c r="O75" s="2929">
        <f t="shared" si="218"/>
        <v>3.1897926634768738E-2</v>
      </c>
      <c r="P75" s="2929">
        <f t="shared" si="219"/>
        <v>6.6733400066733395E-2</v>
      </c>
      <c r="Q75" s="2929">
        <f t="shared" si="219"/>
        <v>0</v>
      </c>
      <c r="R75" s="2870"/>
      <c r="S75" s="2869"/>
      <c r="T75" s="2855"/>
      <c r="U75" s="2855"/>
      <c r="V75" s="2855"/>
      <c r="X75" s="2930"/>
      <c r="Y75" s="2930"/>
      <c r="Z75" s="2930"/>
    </row>
    <row r="76" spans="1:26" s="2922" customFormat="1" ht="13.5" thickBot="1">
      <c r="A76" s="2866" t="s">
        <v>2582</v>
      </c>
      <c r="B76" s="2919">
        <f t="shared" si="220"/>
        <v>112.48648648648648</v>
      </c>
      <c r="C76" s="2919">
        <f t="shared" si="220"/>
        <v>115.21212121212122</v>
      </c>
      <c r="D76" s="2919">
        <f t="shared" si="186"/>
        <v>115.21212121212122</v>
      </c>
      <c r="E76" s="2919">
        <f t="shared" si="221"/>
        <v>110.4024024024024</v>
      </c>
      <c r="F76" s="2919">
        <f t="shared" si="221"/>
        <v>104</v>
      </c>
      <c r="G76" s="3589">
        <v>2004</v>
      </c>
      <c r="H76" s="2920">
        <v>1</v>
      </c>
      <c r="I76" s="2920">
        <v>0.33</v>
      </c>
      <c r="J76" s="2920">
        <v>0.5</v>
      </c>
      <c r="K76" s="2920">
        <v>0.5</v>
      </c>
      <c r="L76" s="2921">
        <v>0</v>
      </c>
      <c r="N76" s="2933">
        <f t="shared" si="218"/>
        <v>1.3391770148526898E-2</v>
      </c>
      <c r="O76" s="2934">
        <f t="shared" si="218"/>
        <v>1.063264221158958E-2</v>
      </c>
      <c r="P76" s="2934">
        <f t="shared" si="219"/>
        <v>2.2244466688911134E-2</v>
      </c>
      <c r="Q76" s="2934">
        <f t="shared" si="219"/>
        <v>0</v>
      </c>
      <c r="R76" s="2925"/>
      <c r="S76" s="2923">
        <f>B76/B77-1</f>
        <v>1.3391770148526883E-2</v>
      </c>
      <c r="T76" s="2924">
        <f>C76/C77-1</f>
        <v>1.063264221158966E-2</v>
      </c>
      <c r="U76" s="2924">
        <f>E76/E77-1</f>
        <v>2.2244466688911224E-2</v>
      </c>
      <c r="V76" s="2924">
        <f>F76/F77-1</f>
        <v>0</v>
      </c>
      <c r="X76" s="2935"/>
      <c r="Y76" s="2935"/>
      <c r="Z76" s="2935"/>
    </row>
    <row r="77" spans="1:26" ht="13.5" thickBot="1">
      <c r="A77" s="2866" t="s">
        <v>2583</v>
      </c>
      <c r="B77" s="2936">
        <v>111</v>
      </c>
      <c r="C77" s="2936">
        <v>114</v>
      </c>
      <c r="D77" s="2936">
        <f t="shared" si="186"/>
        <v>114</v>
      </c>
      <c r="E77" s="2936">
        <v>108</v>
      </c>
      <c r="F77" s="2937">
        <v>104</v>
      </c>
      <c r="G77" s="3588">
        <v>2003</v>
      </c>
      <c r="H77" s="2926">
        <v>4</v>
      </c>
      <c r="I77" s="2938"/>
      <c r="J77" s="2938"/>
      <c r="K77" s="2938"/>
      <c r="L77" s="2938"/>
      <c r="N77" s="2939"/>
      <c r="O77" s="2938"/>
      <c r="P77" s="2938"/>
      <c r="Q77" s="2938"/>
      <c r="S77" s="2939"/>
      <c r="T77" s="2938"/>
      <c r="U77" s="2938"/>
      <c r="V77" s="2938"/>
      <c r="X77" s="2930"/>
      <c r="Y77" s="2930"/>
      <c r="Z77" s="2930"/>
    </row>
    <row r="78" spans="1:26">
      <c r="A78" s="2866" t="s">
        <v>2584</v>
      </c>
      <c r="B78" s="2940">
        <f t="shared" ref="B78:C80" si="222">B79+(B$77-B$81)/4</f>
        <v>109.75</v>
      </c>
      <c r="C78" s="2940">
        <f t="shared" si="222"/>
        <v>112.25</v>
      </c>
      <c r="D78" s="2940">
        <f t="shared" si="186"/>
        <v>112.25</v>
      </c>
      <c r="E78" s="2940">
        <f t="shared" ref="E78:F80" si="223">E79+(E$77-E$81)/4</f>
        <v>107.25</v>
      </c>
      <c r="F78" s="2940">
        <f t="shared" si="223"/>
        <v>103.5</v>
      </c>
      <c r="G78" s="3586">
        <v>2003</v>
      </c>
      <c r="H78" s="2893">
        <v>3</v>
      </c>
      <c r="I78" s="2938"/>
      <c r="J78" s="2938"/>
      <c r="K78" s="2938"/>
      <c r="L78" s="2938"/>
      <c r="X78" s="2930"/>
      <c r="Y78" s="2930"/>
      <c r="Z78" s="2930"/>
    </row>
    <row r="79" spans="1:26">
      <c r="A79" s="2866" t="s">
        <v>2585</v>
      </c>
      <c r="B79" s="2940">
        <f t="shared" si="222"/>
        <v>108.5</v>
      </c>
      <c r="C79" s="2940">
        <f t="shared" si="222"/>
        <v>110.5</v>
      </c>
      <c r="D79" s="2940">
        <f t="shared" si="186"/>
        <v>110.5</v>
      </c>
      <c r="E79" s="2940">
        <f t="shared" si="223"/>
        <v>106.5</v>
      </c>
      <c r="F79" s="2940">
        <f t="shared" si="223"/>
        <v>103</v>
      </c>
      <c r="G79" s="3586">
        <v>2003</v>
      </c>
      <c r="H79" s="2881">
        <v>2</v>
      </c>
      <c r="I79" s="2938"/>
      <c r="J79" s="2938"/>
      <c r="K79" s="2938"/>
      <c r="L79" s="2938"/>
      <c r="X79" s="2930"/>
      <c r="Y79" s="2930"/>
      <c r="Z79" s="2930"/>
    </row>
    <row r="80" spans="1:26" ht="13.5" thickBot="1">
      <c r="A80" s="2866" t="s">
        <v>2586</v>
      </c>
      <c r="B80" s="2940">
        <f t="shared" si="222"/>
        <v>107.25</v>
      </c>
      <c r="C80" s="2940">
        <f t="shared" si="222"/>
        <v>108.75</v>
      </c>
      <c r="D80" s="2940">
        <f t="shared" si="186"/>
        <v>108.75</v>
      </c>
      <c r="E80" s="2940">
        <f t="shared" si="223"/>
        <v>105.75</v>
      </c>
      <c r="F80" s="2940">
        <f t="shared" si="223"/>
        <v>102.5</v>
      </c>
      <c r="G80" s="3589">
        <v>2003</v>
      </c>
      <c r="H80" s="2941">
        <v>1</v>
      </c>
      <c r="I80" s="2938"/>
      <c r="J80" s="2938"/>
      <c r="K80" s="2938"/>
      <c r="L80" s="2938"/>
      <c r="S80" s="2869"/>
      <c r="T80" s="2855"/>
      <c r="U80" s="2855"/>
      <c r="X80" s="2930"/>
      <c r="Y80" s="2930"/>
      <c r="Z80" s="2930"/>
    </row>
    <row r="81" spans="1:26" ht="13.5" thickBot="1">
      <c r="A81" s="2866" t="s">
        <v>2587</v>
      </c>
      <c r="B81" s="2942">
        <v>106</v>
      </c>
      <c r="C81" s="2942">
        <v>107</v>
      </c>
      <c r="D81" s="2942">
        <f t="shared" si="186"/>
        <v>107</v>
      </c>
      <c r="E81" s="2942">
        <v>105</v>
      </c>
      <c r="F81" s="2943">
        <v>102</v>
      </c>
      <c r="G81" s="3588">
        <v>2002</v>
      </c>
      <c r="H81" s="2890">
        <v>4</v>
      </c>
      <c r="I81" s="2938"/>
      <c r="J81" s="2938"/>
      <c r="K81" s="2938"/>
      <c r="L81" s="2938"/>
      <c r="N81" s="2939"/>
      <c r="O81" s="2938"/>
      <c r="P81" s="2938"/>
      <c r="Q81" s="2938"/>
      <c r="S81" s="2939"/>
      <c r="T81" s="2938"/>
      <c r="U81" s="2938"/>
      <c r="V81" s="2938"/>
      <c r="X81" s="2930"/>
      <c r="Y81" s="2930"/>
      <c r="Z81" s="2930"/>
    </row>
    <row r="82" spans="1:26">
      <c r="A82" s="2866" t="s">
        <v>2588</v>
      </c>
      <c r="B82" s="2940">
        <f t="shared" ref="B82:C84" si="224">B83+(B$81-B$85)/4</f>
        <v>105</v>
      </c>
      <c r="C82" s="2940">
        <f t="shared" si="224"/>
        <v>106</v>
      </c>
      <c r="D82" s="2940">
        <f t="shared" si="186"/>
        <v>106</v>
      </c>
      <c r="E82" s="2940">
        <f t="shared" ref="E82:F84" si="225">E83+(E$81-E$85)/4</f>
        <v>104.5</v>
      </c>
      <c r="F82" s="2940">
        <f t="shared" si="225"/>
        <v>101.5</v>
      </c>
      <c r="G82" s="3586">
        <v>2002</v>
      </c>
      <c r="H82" s="2893">
        <v>3</v>
      </c>
      <c r="I82" s="2938"/>
      <c r="J82" s="2938"/>
      <c r="K82" s="2938"/>
      <c r="L82" s="2938"/>
      <c r="X82" s="2930"/>
      <c r="Y82" s="2930"/>
      <c r="Z82" s="2930"/>
    </row>
    <row r="83" spans="1:26">
      <c r="A83" s="2866" t="s">
        <v>2589</v>
      </c>
      <c r="B83" s="2940">
        <f t="shared" si="224"/>
        <v>104</v>
      </c>
      <c r="C83" s="2940">
        <f t="shared" si="224"/>
        <v>105</v>
      </c>
      <c r="D83" s="2940">
        <f t="shared" si="186"/>
        <v>105</v>
      </c>
      <c r="E83" s="2940">
        <f t="shared" si="225"/>
        <v>104</v>
      </c>
      <c r="F83" s="2940">
        <f t="shared" si="225"/>
        <v>101</v>
      </c>
      <c r="G83" s="3586">
        <v>2002</v>
      </c>
      <c r="H83" s="2881">
        <v>2</v>
      </c>
      <c r="I83" s="2938"/>
      <c r="J83" s="2938"/>
      <c r="K83" s="2938"/>
      <c r="L83" s="2938"/>
      <c r="X83" s="2930"/>
      <c r="Y83" s="2930"/>
      <c r="Z83" s="2930"/>
    </row>
    <row r="84" spans="1:26" s="2903" customFormat="1" ht="13.5" thickBot="1">
      <c r="A84" s="2899" t="s">
        <v>2590</v>
      </c>
      <c r="B84" s="2906">
        <f t="shared" si="224"/>
        <v>103</v>
      </c>
      <c r="C84" s="2906">
        <f t="shared" si="224"/>
        <v>104</v>
      </c>
      <c r="D84" s="2906">
        <f t="shared" si="186"/>
        <v>104</v>
      </c>
      <c r="E84" s="2906">
        <f t="shared" si="225"/>
        <v>103.5</v>
      </c>
      <c r="F84" s="2906">
        <f t="shared" si="225"/>
        <v>100.5</v>
      </c>
      <c r="G84" s="3589">
        <v>2002</v>
      </c>
      <c r="H84" s="2944">
        <v>1</v>
      </c>
      <c r="I84" s="2945"/>
      <c r="J84" s="2945"/>
      <c r="K84" s="2945"/>
      <c r="L84" s="2945"/>
      <c r="N84" s="2946"/>
      <c r="S84" s="2946"/>
      <c r="X84" s="2947"/>
      <c r="Y84" s="2947"/>
      <c r="Z84" s="2947"/>
    </row>
    <row r="85" spans="1:26" ht="13.5" thickBot="1">
      <c r="B85" s="2948">
        <v>102</v>
      </c>
      <c r="C85" s="2949">
        <v>103</v>
      </c>
      <c r="D85" s="2949">
        <f t="shared" si="186"/>
        <v>103</v>
      </c>
      <c r="E85" s="2949">
        <v>103</v>
      </c>
      <c r="F85" s="2950">
        <v>100</v>
      </c>
      <c r="I85" s="2938"/>
      <c r="J85" s="2938"/>
      <c r="K85" s="2938"/>
      <c r="L85" s="2938"/>
      <c r="N85" s="2939"/>
      <c r="O85" s="2938"/>
      <c r="P85" s="2938"/>
      <c r="Q85" s="2938"/>
      <c r="S85" s="2939"/>
      <c r="T85" s="2938"/>
      <c r="U85" s="2938"/>
      <c r="V85" s="2938"/>
      <c r="X85" s="2880"/>
      <c r="Y85" s="2880"/>
      <c r="Z85" s="2880"/>
    </row>
    <row r="87" spans="1:26" s="2952" customFormat="1">
      <c r="A87" s="2951" t="s">
        <v>2591</v>
      </c>
      <c r="G87" s="2953"/>
      <c r="N87" s="2953"/>
      <c r="S87" s="2953"/>
    </row>
    <row r="88" spans="1:26" s="2952" customFormat="1">
      <c r="A88" s="2952" t="s">
        <v>2592</v>
      </c>
      <c r="G88" s="2953"/>
      <c r="N88" s="2953"/>
      <c r="S88" s="2953"/>
    </row>
    <row r="89" spans="1:26" s="2952" customFormat="1">
      <c r="A89" s="2952" t="s">
        <v>2593</v>
      </c>
      <c r="G89" s="2953"/>
      <c r="I89" s="2954"/>
      <c r="J89" s="2954"/>
      <c r="K89" s="2954"/>
      <c r="L89" s="2954"/>
      <c r="N89" s="2955"/>
      <c r="O89" s="2954"/>
      <c r="P89" s="2954"/>
      <c r="Q89" s="2954"/>
      <c r="S89" s="2955"/>
      <c r="T89" s="2954"/>
      <c r="U89" s="2954"/>
      <c r="V89" s="2954"/>
    </row>
    <row r="90" spans="1:26" s="2952" customFormat="1">
      <c r="A90" s="2952" t="s">
        <v>2594</v>
      </c>
      <c r="G90" s="2953"/>
      <c r="N90" s="2953"/>
      <c r="S90" s="2953"/>
    </row>
    <row r="97" spans="7:22" ht="13.5" thickBot="1"/>
    <row r="98" spans="7:22">
      <c r="G98" s="2854"/>
      <c r="S98" s="2956" t="s">
        <v>2595</v>
      </c>
      <c r="T98" s="2957" t="s">
        <v>2596</v>
      </c>
      <c r="U98" s="2957" t="s">
        <v>2597</v>
      </c>
      <c r="V98" s="2957" t="s">
        <v>2598</v>
      </c>
    </row>
    <row r="99" spans="7:22">
      <c r="G99" s="2854"/>
      <c r="N99" s="2879"/>
      <c r="O99" s="2880"/>
      <c r="P99" s="2880"/>
      <c r="Q99" s="2880"/>
      <c r="S99" s="2958">
        <v>2006</v>
      </c>
      <c r="T99" s="2959">
        <v>15.1</v>
      </c>
      <c r="U99" s="2959">
        <v>7.43</v>
      </c>
      <c r="V99" s="2959">
        <v>26.26</v>
      </c>
    </row>
    <row r="100" spans="7:22">
      <c r="G100" s="2854"/>
      <c r="N100" s="2879"/>
      <c r="O100" s="2880"/>
      <c r="P100" s="2880"/>
      <c r="Q100" s="2880"/>
      <c r="S100" s="2960">
        <v>2005</v>
      </c>
      <c r="T100" s="2961">
        <v>13.9</v>
      </c>
      <c r="U100" s="2961">
        <v>7.49</v>
      </c>
      <c r="V100" s="2961">
        <v>24.92</v>
      </c>
    </row>
    <row r="101" spans="7:22">
      <c r="G101" s="2854"/>
      <c r="N101" s="2879"/>
      <c r="O101" s="2880"/>
      <c r="P101" s="2880"/>
      <c r="Q101" s="2880"/>
      <c r="S101" s="2958">
        <v>2004</v>
      </c>
      <c r="T101" s="2959">
        <v>9.48</v>
      </c>
      <c r="U101" s="2959">
        <v>7.2</v>
      </c>
      <c r="V101" s="2959">
        <v>14.68</v>
      </c>
    </row>
    <row r="102" spans="7:22">
      <c r="G102" s="2854"/>
      <c r="N102" s="2879"/>
      <c r="O102" s="2880"/>
      <c r="P102" s="2880"/>
      <c r="Q102" s="2880"/>
      <c r="S102" s="2960">
        <v>2003</v>
      </c>
      <c r="T102" s="2961">
        <v>4.5</v>
      </c>
      <c r="U102" s="2961">
        <v>6.12</v>
      </c>
      <c r="V102" s="2961">
        <v>2.34</v>
      </c>
    </row>
    <row r="103" spans="7:22" ht="13.5" thickBot="1">
      <c r="G103" s="2854"/>
      <c r="N103" s="2879"/>
      <c r="O103" s="2880"/>
      <c r="P103" s="2880"/>
      <c r="Q103" s="2880"/>
      <c r="S103" s="2962">
        <v>2002</v>
      </c>
      <c r="T103" s="2963">
        <v>3.59</v>
      </c>
      <c r="U103" s="2963">
        <v>4.54</v>
      </c>
      <c r="V103" s="2963">
        <v>2.5499999999999998</v>
      </c>
    </row>
    <row r="104" spans="7:22">
      <c r="G104" s="2854"/>
      <c r="N104" s="2879"/>
      <c r="O104" s="2880"/>
      <c r="P104" s="2880"/>
      <c r="Q104" s="2880"/>
    </row>
    <row r="105" spans="7:22">
      <c r="G105" s="2854"/>
      <c r="N105" s="2879"/>
      <c r="O105" s="2880"/>
      <c r="P105" s="2880"/>
      <c r="Q105" s="2880"/>
    </row>
    <row r="106" spans="7:22">
      <c r="G106" s="2854"/>
      <c r="N106" s="2879"/>
      <c r="O106" s="2880"/>
      <c r="P106" s="2880"/>
      <c r="Q106" s="2880"/>
    </row>
    <row r="107" spans="7:22">
      <c r="G107" s="2854"/>
      <c r="N107" s="2879"/>
      <c r="O107" s="2880"/>
      <c r="P107" s="2880"/>
      <c r="Q107" s="2880"/>
    </row>
    <row r="108" spans="7:22">
      <c r="G108" s="2854"/>
      <c r="N108" s="2879"/>
      <c r="O108" s="2880"/>
      <c r="P108" s="2880"/>
      <c r="Q108" s="2880"/>
    </row>
    <row r="109" spans="7:22">
      <c r="G109" s="2854"/>
      <c r="N109" s="2879"/>
      <c r="O109" s="2880"/>
      <c r="P109" s="2880"/>
      <c r="Q109" s="2880"/>
    </row>
    <row r="110" spans="7:22">
      <c r="G110" s="2854"/>
      <c r="N110" s="2879"/>
      <c r="O110" s="2880"/>
      <c r="P110" s="2880"/>
      <c r="Q110" s="2880"/>
    </row>
    <row r="111" spans="7:22">
      <c r="G111" s="2854"/>
      <c r="N111" s="2879"/>
      <c r="O111" s="2880"/>
      <c r="P111" s="2880"/>
      <c r="Q111" s="2880"/>
    </row>
    <row r="112" spans="7:22">
      <c r="G112" s="2854"/>
      <c r="N112" s="2879"/>
      <c r="O112" s="2880"/>
      <c r="P112" s="2880"/>
      <c r="Q112" s="2880"/>
    </row>
    <row r="113" spans="7:19">
      <c r="G113" s="2854"/>
      <c r="N113" s="2879"/>
      <c r="O113" s="2880"/>
      <c r="P113" s="2880"/>
      <c r="Q113" s="2880"/>
    </row>
    <row r="114" spans="7:19">
      <c r="G114" s="2854"/>
      <c r="N114" s="2879"/>
      <c r="O114" s="2880"/>
      <c r="P114" s="2880"/>
      <c r="Q114" s="2880"/>
      <c r="S114" s="2854"/>
    </row>
    <row r="115" spans="7:19">
      <c r="G115" s="2854"/>
      <c r="N115" s="2879"/>
      <c r="O115" s="2880"/>
      <c r="P115" s="2880"/>
      <c r="Q115" s="2880"/>
      <c r="S115" s="2854"/>
    </row>
    <row r="116" spans="7:19">
      <c r="G116" s="2854"/>
      <c r="N116" s="2879"/>
      <c r="O116" s="2880"/>
      <c r="P116" s="2880"/>
      <c r="Q116" s="2880"/>
      <c r="S116" s="2854"/>
    </row>
    <row r="117" spans="7:19">
      <c r="G117" s="2854"/>
      <c r="N117" s="2879"/>
      <c r="O117" s="2880"/>
      <c r="P117" s="2880"/>
      <c r="Q117" s="2880"/>
      <c r="S117" s="2854"/>
    </row>
    <row r="118" spans="7:19">
      <c r="G118" s="2854"/>
      <c r="N118" s="2879"/>
      <c r="O118" s="2880"/>
      <c r="P118" s="2880"/>
      <c r="Q118" s="2880"/>
      <c r="S118" s="2854"/>
    </row>
    <row r="119" spans="7:19">
      <c r="G119" s="2854"/>
      <c r="N119" s="2879"/>
      <c r="O119" s="2880"/>
      <c r="P119" s="2880"/>
      <c r="Q119" s="2880"/>
      <c r="S119" s="2854"/>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34818平方米。根据《建设工程规划许可证》[]、《出让合同》[]，估价对象规划建筑面积为104454平方米。</v>
      </c>
    </row>
    <row r="7" spans="1:4" ht="56.25">
      <c r="A7" s="1685" t="s">
        <v>2706</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2022年1月13日</v>
      </c>
    </row>
    <row r="12" spans="1:4" ht="18.75">
      <c r="A12" s="1687" t="s">
        <v>1999</v>
      </c>
    </row>
    <row r="13" spans="1:4" ht="18.75">
      <c r="A13" s="1681" t="s">
        <v>2885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根据《国有土地使用证》[]，估价对象（分摊）出让国有建设用地使用权面积为34818平方米。根据《建设工程规划许可证》[]、《出让合同》[]，估价对象规划建筑面积为104454平方米。</v>
      </c>
    </row>
    <row r="21" spans="1:1" ht="18.75">
      <c r="A21" s="1681" t="s">
        <v>2048</v>
      </c>
    </row>
    <row r="22" spans="1:1" ht="93.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3月9日、商业2061年3月9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1月13日，在规划利用条件下、设定土地开发程度为红线外“七通”、宗地内场地，设定用途为，剩余土地使用年限为的出让国有建设用地使用权价格。</v>
      </c>
    </row>
    <row r="26" spans="1:1" ht="9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216" customWidth="1"/>
    <col min="2" max="2" width="12.5" style="3216" customWidth="1"/>
    <col min="3" max="3" width="12.125" style="3216" customWidth="1"/>
    <col min="4" max="4" width="16.625" style="3216" customWidth="1"/>
    <col min="5" max="5" width="12.5" style="3216" customWidth="1"/>
    <col min="6" max="6" width="12.75" style="3216" customWidth="1"/>
    <col min="7" max="16384" width="8.875" style="3216"/>
  </cols>
  <sheetData>
    <row r="1" spans="1:14" ht="20.25">
      <c r="A1" s="3219" t="s">
        <v>2892</v>
      </c>
      <c r="B1" s="3214"/>
      <c r="C1" s="3214"/>
      <c r="D1" s="3214"/>
      <c r="E1" s="3214"/>
      <c r="F1" s="3214"/>
      <c r="G1" s="3215"/>
      <c r="H1" s="3215"/>
      <c r="I1" s="3215"/>
      <c r="J1" s="3215"/>
      <c r="K1" s="3215"/>
      <c r="L1" s="3215"/>
      <c r="M1" s="3215"/>
      <c r="N1" s="3215"/>
    </row>
    <row r="2" spans="1:14" ht="14.25">
      <c r="A2" s="3220" t="s">
        <v>2887</v>
      </c>
      <c r="B2" s="3225">
        <f ca="1">SUMIF(B7:B14,"&lt;&gt;#ref!",B7:B14)</f>
        <v>0</v>
      </c>
      <c r="C2" s="3220" t="s">
        <v>2888</v>
      </c>
      <c r="D2" s="3217"/>
      <c r="E2" s="3217"/>
      <c r="F2" s="3217"/>
      <c r="G2" s="3215"/>
      <c r="H2" s="3215"/>
      <c r="I2" s="3215"/>
      <c r="J2" s="3215"/>
      <c r="K2" s="3215"/>
      <c r="L2" s="3215"/>
      <c r="M2" s="3215"/>
      <c r="N2" s="3215"/>
    </row>
    <row r="3" spans="1:14" ht="14.25">
      <c r="A3" s="3220" t="s">
        <v>2917</v>
      </c>
      <c r="B3" s="3225" t="e">
        <f ca="1">ROUND(B2*10000/E3,0)</f>
        <v>#DIV/0!</v>
      </c>
      <c r="C3" s="3220" t="s">
        <v>2052</v>
      </c>
      <c r="D3" s="3220" t="s">
        <v>2889</v>
      </c>
      <c r="E3" s="3218">
        <f ca="1">SUMIF(E7:E14,"&lt;&gt;#ref!",E7:E14)</f>
        <v>0</v>
      </c>
      <c r="F3" s="3217"/>
      <c r="G3" s="3215"/>
      <c r="H3" s="3215"/>
      <c r="I3" s="3215"/>
      <c r="J3" s="3215"/>
      <c r="K3" s="3215"/>
      <c r="L3" s="3215"/>
      <c r="M3" s="3215"/>
      <c r="N3" s="3215"/>
    </row>
    <row r="4" spans="1:14" ht="14.25">
      <c r="A4" s="3220" t="s">
        <v>2895</v>
      </c>
      <c r="B4" s="3225" t="e">
        <f ca="1">ROUND(B2*10000/E4,0)</f>
        <v>#DIV/0!</v>
      </c>
      <c r="C4" s="3220" t="s">
        <v>2052</v>
      </c>
      <c r="D4" s="3220" t="s">
        <v>2896</v>
      </c>
      <c r="E4" s="3218">
        <f ca="1">SUMIF(F7:F14,"&lt;&gt;#ref!",F7:F14)</f>
        <v>0</v>
      </c>
      <c r="F4" s="3217"/>
      <c r="G4" s="3215"/>
      <c r="H4" s="3215"/>
      <c r="I4" s="3215"/>
      <c r="J4" s="3215"/>
      <c r="K4" s="3215"/>
      <c r="L4" s="3215"/>
      <c r="M4" s="3215"/>
      <c r="N4" s="3215"/>
    </row>
    <row r="5" spans="1:14" ht="14.25">
      <c r="A5" s="3221"/>
      <c r="B5" s="3217"/>
      <c r="C5" s="3217"/>
      <c r="D5" s="3217"/>
      <c r="E5" s="3217"/>
      <c r="F5" s="3217"/>
      <c r="G5" s="3215"/>
      <c r="H5" s="3215"/>
      <c r="I5" s="3215"/>
      <c r="J5" s="3215"/>
      <c r="K5" s="3215"/>
      <c r="L5" s="3215"/>
      <c r="M5" s="3215"/>
      <c r="N5" s="3215"/>
    </row>
    <row r="6" spans="1:14" ht="28.5">
      <c r="A6" s="3222" t="s">
        <v>2893</v>
      </c>
      <c r="B6" s="3220" t="s">
        <v>2890</v>
      </c>
      <c r="C6" s="2758"/>
      <c r="D6" s="3217"/>
      <c r="E6" s="3220" t="s">
        <v>2891</v>
      </c>
      <c r="F6" s="3220" t="s">
        <v>2894</v>
      </c>
      <c r="G6" s="3215"/>
      <c r="H6" s="3215"/>
      <c r="I6" s="3215"/>
      <c r="J6" s="3215"/>
      <c r="K6" s="3215"/>
      <c r="L6" s="3215"/>
      <c r="M6" s="3215"/>
      <c r="N6" s="3215"/>
    </row>
    <row r="7" spans="1:14" ht="14.25">
      <c r="A7" s="3223"/>
      <c r="B7" s="3225" t="e">
        <f ca="1">SUMIF(INDIRECT("'"&amp;A7&amp;"'"&amp;"!A:A"),"总价",INDIRECT("'"&amp;A7&amp;"'"&amp;"!B:B"))</f>
        <v>#REF!</v>
      </c>
      <c r="C7" s="3220" t="s">
        <v>2888</v>
      </c>
      <c r="D7" s="3217"/>
      <c r="E7" s="3218" t="e">
        <f ca="1">SUMIF(INDIRECT("'"&amp;A7&amp;"'"&amp;"!C:C"),"建筑面积",INDIRECT("'"&amp;A7&amp;"'"&amp;"!D:D"))</f>
        <v>#REF!</v>
      </c>
      <c r="F7" s="3218" t="e">
        <f ca="1">SUMIF(INDIRECT("'"&amp;A7&amp;"'"&amp;"!E:E"),"土地面积",INDIRECT("'"&amp;A7&amp;"'"&amp;"!F:F"))</f>
        <v>#REF!</v>
      </c>
      <c r="G7" s="3215"/>
      <c r="H7" s="3215"/>
      <c r="I7" s="3215"/>
      <c r="J7" s="3215"/>
      <c r="K7" s="3215"/>
      <c r="L7" s="3215"/>
      <c r="M7" s="3215"/>
      <c r="N7" s="3215"/>
    </row>
    <row r="8" spans="1:14" ht="14.25">
      <c r="A8" s="3223"/>
      <c r="B8" s="3225" t="e">
        <f t="shared" ref="B8:B14" ca="1" si="0">SUMIF(INDIRECT("'"&amp;A8&amp;"'"&amp;"!A:A"),"总价",INDIRECT("'"&amp;A8&amp;"'"&amp;"!B:B"))</f>
        <v>#REF!</v>
      </c>
      <c r="C8" s="3220" t="s">
        <v>2888</v>
      </c>
      <c r="D8" s="3217"/>
      <c r="E8" s="3218" t="e">
        <f t="shared" ref="E8:E14" ca="1" si="1">SUMIF(INDIRECT("'"&amp;A8&amp;"'"&amp;"!C:C"),"建筑面积",INDIRECT("'"&amp;A8&amp;"'"&amp;"!D:D"))</f>
        <v>#REF!</v>
      </c>
      <c r="F8" s="3218" t="e">
        <f t="shared" ref="F8:F14" ca="1" si="2">SUMIF(INDIRECT("'"&amp;A8&amp;"'"&amp;"!E:E"),"土地面积",INDIRECT("'"&amp;A8&amp;"'"&amp;"!F:F"))</f>
        <v>#REF!</v>
      </c>
      <c r="G8" s="3215"/>
      <c r="H8" s="3215"/>
      <c r="I8" s="3215"/>
      <c r="J8" s="3215"/>
      <c r="K8" s="3215"/>
      <c r="L8" s="3215"/>
      <c r="M8" s="3215"/>
      <c r="N8" s="3215"/>
    </row>
    <row r="9" spans="1:14" ht="14.25">
      <c r="A9" s="3223"/>
      <c r="B9" s="3225" t="e">
        <f t="shared" ca="1" si="0"/>
        <v>#REF!</v>
      </c>
      <c r="C9" s="3220" t="s">
        <v>2888</v>
      </c>
      <c r="D9" s="3217"/>
      <c r="E9" s="3218" t="e">
        <f t="shared" ca="1" si="1"/>
        <v>#REF!</v>
      </c>
      <c r="F9" s="3218" t="e">
        <f t="shared" ca="1" si="2"/>
        <v>#REF!</v>
      </c>
      <c r="G9" s="3215"/>
      <c r="H9" s="3215"/>
      <c r="I9" s="3215"/>
      <c r="J9" s="3215"/>
      <c r="K9" s="3215"/>
      <c r="L9" s="3215"/>
      <c r="M9" s="3215"/>
      <c r="N9" s="3215"/>
    </row>
    <row r="10" spans="1:14" ht="14.25">
      <c r="A10" s="3223"/>
      <c r="B10" s="3225" t="e">
        <f t="shared" ca="1" si="0"/>
        <v>#REF!</v>
      </c>
      <c r="C10" s="3220" t="s">
        <v>2888</v>
      </c>
      <c r="D10" s="3217"/>
      <c r="E10" s="3218" t="e">
        <f t="shared" ca="1" si="1"/>
        <v>#REF!</v>
      </c>
      <c r="F10" s="3218" t="e">
        <f t="shared" ca="1" si="2"/>
        <v>#REF!</v>
      </c>
      <c r="G10" s="3215"/>
      <c r="H10" s="3215"/>
      <c r="I10" s="3215"/>
      <c r="J10" s="3215"/>
      <c r="K10" s="3215"/>
      <c r="L10" s="3215"/>
      <c r="M10" s="3215"/>
      <c r="N10" s="3215"/>
    </row>
    <row r="11" spans="1:14" ht="14.25">
      <c r="A11" s="3223"/>
      <c r="B11" s="3225" t="e">
        <f t="shared" ca="1" si="0"/>
        <v>#REF!</v>
      </c>
      <c r="C11" s="3220" t="s">
        <v>2888</v>
      </c>
      <c r="D11" s="3217"/>
      <c r="E11" s="3218" t="e">
        <f t="shared" ca="1" si="1"/>
        <v>#REF!</v>
      </c>
      <c r="F11" s="3218" t="e">
        <f t="shared" ca="1" si="2"/>
        <v>#REF!</v>
      </c>
      <c r="G11" s="3215"/>
      <c r="H11" s="3215"/>
      <c r="I11" s="3215"/>
      <c r="J11" s="3215"/>
      <c r="K11" s="3215"/>
      <c r="L11" s="3215"/>
      <c r="M11" s="3215"/>
      <c r="N11" s="3215"/>
    </row>
    <row r="12" spans="1:14" ht="14.25">
      <c r="A12" s="3223"/>
      <c r="B12" s="3225" t="e">
        <f t="shared" ca="1" si="0"/>
        <v>#REF!</v>
      </c>
      <c r="C12" s="3220" t="s">
        <v>2888</v>
      </c>
      <c r="D12" s="3217"/>
      <c r="E12" s="3218" t="e">
        <f t="shared" ca="1" si="1"/>
        <v>#REF!</v>
      </c>
      <c r="F12" s="3218" t="e">
        <f t="shared" ca="1" si="2"/>
        <v>#REF!</v>
      </c>
      <c r="G12" s="3215"/>
      <c r="H12" s="3215"/>
      <c r="I12" s="3215"/>
      <c r="J12" s="3215"/>
      <c r="K12" s="3215"/>
      <c r="L12" s="3215"/>
      <c r="M12" s="3215"/>
      <c r="N12" s="3215"/>
    </row>
    <row r="13" spans="1:14" ht="14.25">
      <c r="A13" s="3223"/>
      <c r="B13" s="3225" t="e">
        <f t="shared" ca="1" si="0"/>
        <v>#REF!</v>
      </c>
      <c r="C13" s="3220" t="s">
        <v>2888</v>
      </c>
      <c r="D13" s="3217"/>
      <c r="E13" s="3218" t="e">
        <f t="shared" ca="1" si="1"/>
        <v>#REF!</v>
      </c>
      <c r="F13" s="3218" t="e">
        <f t="shared" ca="1" si="2"/>
        <v>#REF!</v>
      </c>
      <c r="G13" s="3215"/>
      <c r="H13" s="3215"/>
      <c r="I13" s="3215"/>
      <c r="J13" s="3215"/>
      <c r="K13" s="3215"/>
      <c r="L13" s="3215"/>
      <c r="M13" s="3215"/>
      <c r="N13" s="3215"/>
    </row>
    <row r="14" spans="1:14" ht="14.25">
      <c r="A14" s="3224"/>
      <c r="B14" s="3225" t="e">
        <f t="shared" ca="1" si="0"/>
        <v>#REF!</v>
      </c>
      <c r="C14" s="3220" t="s">
        <v>2888</v>
      </c>
      <c r="D14" s="3217"/>
      <c r="E14" s="3218" t="e">
        <f t="shared" ca="1" si="1"/>
        <v>#REF!</v>
      </c>
      <c r="F14" s="3218" t="e">
        <f t="shared" ca="1" si="2"/>
        <v>#REF!</v>
      </c>
      <c r="G14" s="3215"/>
      <c r="H14" s="3215"/>
      <c r="I14" s="3215"/>
      <c r="J14" s="3215"/>
      <c r="K14" s="3215"/>
      <c r="L14" s="3215"/>
      <c r="M14" s="3215"/>
      <c r="N14" s="3215"/>
    </row>
    <row r="15" spans="1:14">
      <c r="A15" s="3215"/>
      <c r="B15" s="3215"/>
      <c r="C15" s="3215"/>
      <c r="D15" s="3215"/>
      <c r="E15" s="3215"/>
      <c r="F15" s="3215"/>
      <c r="G15" s="3215"/>
      <c r="H15" s="3215"/>
      <c r="I15" s="3215"/>
      <c r="J15" s="3215"/>
      <c r="K15" s="3215"/>
      <c r="L15" s="3215"/>
      <c r="M15" s="3215"/>
      <c r="N15" s="3215"/>
    </row>
    <row r="16" spans="1:14">
      <c r="A16" s="3215"/>
      <c r="B16" s="3215"/>
      <c r="C16" s="3215"/>
      <c r="D16" s="3215"/>
      <c r="E16" s="3215"/>
      <c r="F16" s="3215"/>
      <c r="G16" s="3215"/>
      <c r="H16" s="3215"/>
      <c r="I16" s="3215"/>
      <c r="J16" s="3215"/>
      <c r="K16" s="3215"/>
      <c r="L16" s="3215"/>
      <c r="M16" s="3215"/>
      <c r="N16" s="3215"/>
    </row>
    <row r="17" spans="1:14">
      <c r="A17" s="3215"/>
      <c r="B17" s="3215"/>
      <c r="C17" s="3215"/>
      <c r="D17" s="3215"/>
      <c r="E17" s="3215"/>
      <c r="F17" s="3215"/>
      <c r="G17" s="3215"/>
      <c r="H17" s="3215"/>
      <c r="I17" s="3215"/>
      <c r="J17" s="3215"/>
      <c r="K17" s="3215"/>
      <c r="L17" s="3215"/>
      <c r="M17" s="3215"/>
      <c r="N17" s="3215"/>
    </row>
    <row r="18" spans="1:14">
      <c r="A18" s="3215"/>
      <c r="B18" s="3215"/>
      <c r="C18" s="3215"/>
      <c r="D18" s="3215"/>
      <c r="E18" s="3215"/>
      <c r="F18" s="3215"/>
      <c r="G18" s="3215"/>
      <c r="H18" s="3215"/>
      <c r="I18" s="3215"/>
      <c r="J18" s="3215"/>
      <c r="K18" s="3215"/>
      <c r="L18" s="3215"/>
      <c r="M18" s="3215"/>
      <c r="N18" s="3215"/>
    </row>
    <row r="19" spans="1:14">
      <c r="A19" s="3215"/>
      <c r="B19" s="3215"/>
      <c r="C19" s="3215"/>
      <c r="D19" s="3215"/>
      <c r="E19" s="3215"/>
      <c r="F19" s="3215"/>
      <c r="G19" s="3215"/>
      <c r="H19" s="3215"/>
      <c r="I19" s="3215"/>
      <c r="J19" s="3215"/>
      <c r="K19" s="3215"/>
      <c r="L19" s="3215"/>
      <c r="M19" s="3215"/>
      <c r="N19" s="3215"/>
    </row>
    <row r="20" spans="1:14">
      <c r="A20" s="3215"/>
      <c r="B20" s="3215"/>
      <c r="C20" s="3215"/>
      <c r="D20" s="3215"/>
      <c r="E20" s="3215"/>
      <c r="F20" s="3215"/>
      <c r="G20" s="3215"/>
      <c r="H20" s="3215"/>
      <c r="I20" s="3215"/>
      <c r="J20" s="3215"/>
      <c r="K20" s="3215"/>
      <c r="L20" s="3215"/>
      <c r="M20" s="3215"/>
      <c r="N20" s="3215"/>
    </row>
    <row r="21" spans="1:14">
      <c r="A21" s="3215"/>
      <c r="B21" s="3215"/>
      <c r="C21" s="3215"/>
      <c r="D21" s="3215"/>
      <c r="E21" s="3215"/>
      <c r="F21" s="3215"/>
      <c r="G21" s="3215"/>
      <c r="H21" s="3215"/>
      <c r="I21" s="3215"/>
      <c r="J21" s="3215"/>
      <c r="K21" s="3215"/>
      <c r="L21" s="3215"/>
      <c r="M21" s="3215"/>
      <c r="N21" s="3215"/>
    </row>
    <row r="22" spans="1:14">
      <c r="A22" s="3215"/>
      <c r="B22" s="3215"/>
      <c r="C22" s="3215"/>
      <c r="D22" s="3215"/>
      <c r="E22" s="3215"/>
      <c r="F22" s="3215"/>
      <c r="G22" s="3215"/>
      <c r="H22" s="3215"/>
      <c r="I22" s="3215"/>
      <c r="J22" s="3215"/>
      <c r="K22" s="3215"/>
      <c r="L22" s="3215"/>
      <c r="M22" s="3215"/>
      <c r="N22" s="3215"/>
    </row>
    <row r="23" spans="1:14">
      <c r="A23" s="3215"/>
      <c r="B23" s="3215"/>
      <c r="C23" s="3215"/>
      <c r="D23" s="3215"/>
      <c r="E23" s="3215"/>
      <c r="F23" s="3215"/>
      <c r="G23" s="3215"/>
      <c r="H23" s="3215"/>
      <c r="I23" s="3215"/>
      <c r="J23" s="3215"/>
      <c r="K23" s="3215"/>
      <c r="L23" s="3215"/>
      <c r="M23" s="3215"/>
      <c r="N23" s="3215"/>
    </row>
    <row r="24" spans="1:14">
      <c r="A24" s="3215"/>
      <c r="B24" s="3215"/>
      <c r="C24" s="3215"/>
      <c r="D24" s="3215"/>
      <c r="E24" s="3215"/>
      <c r="F24" s="3215"/>
      <c r="G24" s="3215"/>
      <c r="H24" s="3215"/>
      <c r="I24" s="3215"/>
      <c r="J24" s="3215"/>
      <c r="K24" s="3215"/>
      <c r="L24" s="3215"/>
      <c r="M24" s="3215"/>
      <c r="N24" s="3215"/>
    </row>
    <row r="25" spans="1:14">
      <c r="A25" s="3215"/>
      <c r="B25" s="3215"/>
      <c r="C25" s="3215"/>
      <c r="D25" s="3215"/>
      <c r="E25" s="3215"/>
      <c r="F25" s="3215"/>
      <c r="G25" s="3215"/>
      <c r="H25" s="3215"/>
      <c r="I25" s="3215"/>
      <c r="J25" s="3215"/>
      <c r="K25" s="3215"/>
      <c r="L25" s="3215"/>
      <c r="M25" s="3215"/>
      <c r="N25" s="3215"/>
    </row>
    <row r="26" spans="1:14">
      <c r="A26" s="3215"/>
      <c r="B26" s="3215"/>
      <c r="C26" s="3215"/>
      <c r="D26" s="3215"/>
      <c r="E26" s="3215"/>
      <c r="F26" s="3215"/>
      <c r="G26" s="3215"/>
      <c r="H26" s="3215"/>
      <c r="I26" s="3215"/>
      <c r="J26" s="3215"/>
      <c r="K26" s="3215"/>
      <c r="L26" s="3215"/>
      <c r="M26" s="3215"/>
      <c r="N26" s="3215"/>
    </row>
    <row r="27" spans="1:14">
      <c r="A27" s="3215"/>
      <c r="B27" s="3215"/>
      <c r="C27" s="3215"/>
      <c r="D27" s="3215"/>
      <c r="E27" s="3215"/>
      <c r="F27" s="3215"/>
      <c r="G27" s="3215"/>
      <c r="H27" s="3215"/>
      <c r="I27" s="3215"/>
      <c r="J27" s="3215"/>
      <c r="K27" s="3215"/>
      <c r="L27" s="3215"/>
      <c r="M27" s="3215"/>
      <c r="N27" s="3215"/>
    </row>
    <row r="28" spans="1:14">
      <c r="A28" s="3215"/>
      <c r="B28" s="3215"/>
      <c r="C28" s="3215"/>
      <c r="D28" s="3215"/>
      <c r="E28" s="3215"/>
      <c r="F28" s="3215"/>
      <c r="G28" s="3215"/>
      <c r="H28" s="3215"/>
      <c r="I28" s="3215"/>
      <c r="J28" s="3215"/>
      <c r="K28" s="3215"/>
      <c r="L28" s="3215"/>
      <c r="M28" s="3215"/>
      <c r="N28" s="3215"/>
    </row>
    <row r="29" spans="1:14">
      <c r="A29" s="3215"/>
      <c r="B29" s="3215"/>
      <c r="C29" s="3215"/>
      <c r="D29" s="3215"/>
      <c r="E29" s="3215"/>
      <c r="F29" s="3215"/>
      <c r="G29" s="3215"/>
      <c r="H29" s="3215"/>
      <c r="I29" s="3215"/>
      <c r="J29" s="3215"/>
      <c r="K29" s="3215"/>
      <c r="L29" s="3215"/>
      <c r="M29" s="3215"/>
      <c r="N29" s="321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v>
      </c>
      <c r="G1" s="747">
        <f>MATCH(C1,'数据-取费表'!A6:A16,0)+5</f>
        <v>8</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597" t="s">
        <v>2424</v>
      </c>
      <c r="C8" s="1715">
        <f ca="1">ROUND(F8*F10*F9*(1-F11)/10000,0)</f>
        <v>0</v>
      </c>
      <c r="D8" s="1712" t="s">
        <v>2495</v>
      </c>
      <c r="E8" s="61" t="s">
        <v>620</v>
      </c>
      <c r="F8" s="758">
        <f ca="1">INDIRECT("'数据-取费表'!u"&amp;$G$1)</f>
        <v>0</v>
      </c>
      <c r="G8" s="1502"/>
      <c r="H8" s="2329" t="s">
        <v>1804</v>
      </c>
      <c r="I8" s="3597" t="s">
        <v>2424</v>
      </c>
      <c r="J8" s="756">
        <f ca="1">ROUND(M8*M10*M9*(1-M11)/10000,0)</f>
        <v>0</v>
      </c>
      <c r="K8" s="339" t="s">
        <v>2495</v>
      </c>
      <c r="L8" s="757" t="s">
        <v>1718</v>
      </c>
      <c r="M8" s="758">
        <f ca="1">INDIRECT("'数据-取费表'!z"&amp;$G$1)</f>
        <v>0</v>
      </c>
    </row>
    <row r="9" spans="1:25" ht="18" customHeight="1">
      <c r="A9" s="2325"/>
      <c r="B9" s="3598"/>
      <c r="C9" s="1716"/>
      <c r="D9" s="1713"/>
      <c r="E9" s="61" t="s">
        <v>621</v>
      </c>
      <c r="F9" s="758">
        <f ca="1">IF(INDIRECT("'数据-取费表'!ah"&amp;$G$1)="",INDIRECT("'数据-取费表'!k"&amp;$G$1),INDIRECT("'数据-取费表'!ah"&amp;$G$1))</f>
        <v>0</v>
      </c>
      <c r="G9" s="1502"/>
      <c r="H9" s="2314"/>
      <c r="I9" s="3598"/>
      <c r="J9" s="761"/>
      <c r="K9" s="762"/>
      <c r="L9" s="757" t="s">
        <v>1719</v>
      </c>
      <c r="M9" s="758">
        <f ca="1">F9</f>
        <v>0</v>
      </c>
    </row>
    <row r="10" spans="1:25" ht="18" customHeight="1">
      <c r="A10" s="2318"/>
      <c r="B10" s="3599"/>
      <c r="C10" s="1716"/>
      <c r="D10" s="1713"/>
      <c r="E10" s="61" t="s">
        <v>622</v>
      </c>
      <c r="F10" s="758">
        <f ca="1">INDIRECT("'数据-取费表'!ai"&amp;$G$1)</f>
        <v>0</v>
      </c>
      <c r="G10" s="1502"/>
      <c r="H10" s="2314"/>
      <c r="I10" s="3599"/>
      <c r="J10" s="761"/>
      <c r="K10" s="762"/>
      <c r="L10" s="757" t="s">
        <v>1720</v>
      </c>
      <c r="M10" s="758">
        <f ca="1">INDIRECT("'数据-取费表'!ai"&amp;$G$1)</f>
        <v>0</v>
      </c>
    </row>
    <row r="11" spans="1:25" ht="18" customHeight="1">
      <c r="A11" s="759"/>
      <c r="B11" s="3600"/>
      <c r="C11" s="1716"/>
      <c r="D11" s="1713"/>
      <c r="E11" s="61" t="s">
        <v>623</v>
      </c>
      <c r="F11" s="767">
        <f ca="1">INDIRECT("'数据-取费表'!w"&amp;$G$1)</f>
        <v>0</v>
      </c>
      <c r="G11" s="1502"/>
      <c r="H11" s="2330"/>
      <c r="I11" s="3599"/>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2914</v>
      </c>
      <c r="E12" s="2323" t="s">
        <v>2425</v>
      </c>
      <c r="F12" s="2436"/>
      <c r="G12" s="1502"/>
      <c r="H12" s="2386" t="s">
        <v>1805</v>
      </c>
      <c r="I12" s="2391" t="s">
        <v>2420</v>
      </c>
      <c r="J12" s="756">
        <f ca="1">ROUND(IF(M12="押一",J8/12*M13,IF(M12="押二",J8/12*2*M13,IF(M12="押三",J8/12*3*M13,J13*M13))),0)</f>
        <v>0</v>
      </c>
      <c r="K12" s="2326" t="s">
        <v>2914</v>
      </c>
      <c r="L12" s="2323" t="s">
        <v>2425</v>
      </c>
      <c r="M12" s="2436"/>
    </row>
    <row r="13" spans="1:25" ht="18" customHeight="1">
      <c r="A13" s="763"/>
      <c r="B13" s="2320" t="s">
        <v>2534</v>
      </c>
      <c r="C13" s="2324"/>
      <c r="D13" s="762"/>
      <c r="E13" s="2323" t="s">
        <v>2418</v>
      </c>
      <c r="F13" s="769">
        <f ca="1">'数据-取费表'!B39</f>
        <v>1.4999999999999999E-2</v>
      </c>
      <c r="G13" s="1502"/>
      <c r="H13" s="2387"/>
      <c r="I13" s="2320" t="s">
        <v>2534</v>
      </c>
      <c r="J13" s="2324"/>
      <c r="K13" s="2388"/>
      <c r="L13" s="2323" t="s">
        <v>2418</v>
      </c>
      <c r="M13" s="2317">
        <f ca="1">'数据-取费表'!B39</f>
        <v>1.4999999999999999E-2</v>
      </c>
    </row>
    <row r="14" spans="1:25" ht="18" customHeight="1" thickBot="1">
      <c r="A14" s="2362" t="s">
        <v>2428</v>
      </c>
      <c r="B14" s="2363" t="s">
        <v>2421</v>
      </c>
      <c r="C14" s="2364"/>
      <c r="D14" s="2365"/>
      <c r="E14" s="2366"/>
      <c r="F14" s="2367"/>
      <c r="G14" s="1502"/>
      <c r="H14" s="2376" t="s">
        <v>2428</v>
      </c>
      <c r="I14" s="2389" t="s">
        <v>2421</v>
      </c>
      <c r="J14" s="2390"/>
      <c r="K14" s="2365"/>
      <c r="L14" s="2366"/>
      <c r="M14" s="2379"/>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2783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87">
        <f ca="1">ROUND(IF(AND(项目基本情况!B11="自然人",项目基本情况!B10="北京市"),J8*M19/(1+'数据-取费表'!C42),J20+J21+J22),0)</f>
        <v>0</v>
      </c>
      <c r="K19" s="1867" t="s">
        <v>640</v>
      </c>
      <c r="L19" s="1865" t="s">
        <v>641</v>
      </c>
      <c r="M19" s="2986">
        <f ca="1">IF(项目基本情况!B11="企业","——",IF('数据-取费表'!B10="住宅",IF(M8*M9*M10/12/(1+'数据-取费表'!F30)&gt;100000,4%,2.5%),IF(M8*M9*M10/12/(1+'数据-取费表'!F30)&gt;100000,12%,7%)))</f>
        <v>7.0000000000000007E-2</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2.5000000000000001E-2</v>
      </c>
      <c r="G22" s="1503"/>
      <c r="H22" s="1722" t="s">
        <v>1830</v>
      </c>
      <c r="I22" s="1712" t="s">
        <v>651</v>
      </c>
      <c r="J22" s="54">
        <f ca="1">ROUND(M22*M23/10000,0)</f>
        <v>0</v>
      </c>
      <c r="K22" s="786" t="s">
        <v>652</v>
      </c>
      <c r="L22" s="757" t="s">
        <v>653</v>
      </c>
      <c r="M22" s="615">
        <f>'数据-取费表'!B52</f>
        <v>6</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0.03</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95"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94"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1.2999999999999999E-3</v>
      </c>
      <c r="D26" s="2394"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94" t="s">
        <v>2780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85" t="s">
        <v>1859</v>
      </c>
      <c r="B31" s="2366" t="s">
        <v>2781</v>
      </c>
      <c r="C31" s="2369">
        <f ca="1">ROUND((C21+C22+C25+C28)/(1-F23-C26-C29-C30),0)</f>
        <v>0</v>
      </c>
      <c r="D31" s="2370"/>
      <c r="E31" s="2371"/>
      <c r="F31" s="2372"/>
      <c r="G31" s="1503"/>
      <c r="H31" s="795" t="s">
        <v>1848</v>
      </c>
      <c r="I31" s="2695" t="s">
        <v>2782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87">
        <f ca="1">ROUND(IF(AND(项目基本情况!B11="自然人",项目基本情况!B10="北京市"),C8*F33/(1+'数据-取费表'!C42),C34+C35+C36),0)</f>
        <v>0</v>
      </c>
      <c r="D33" s="1867" t="s">
        <v>640</v>
      </c>
      <c r="E33" s="1865" t="s">
        <v>673</v>
      </c>
      <c r="F33" s="2986">
        <f ca="1">IF(项目基本情况!B11="企业","——",IF('数据-取费表'!B10="住宅",IF(F8*F9*F10/12/(1+'数据-取费表'!F30)&gt;100000,4%,2.5%),IF(F8*F9*F10/12/(1+'数据-取费表'!F30)&gt;100000,12%,7%)))</f>
        <v>7.0000000000000007E-2</v>
      </c>
      <c r="G33" s="1919"/>
      <c r="H33" s="3226" t="s">
        <v>2970</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6</v>
      </c>
      <c r="G36" s="1919"/>
      <c r="H36" s="1922"/>
      <c r="I36" s="3596"/>
      <c r="J36" s="1936"/>
      <c r="K36" s="1937"/>
      <c r="L36" s="1936"/>
      <c r="M36" s="1936"/>
    </row>
    <row r="37" spans="1:18" ht="18" customHeight="1">
      <c r="A37" s="787"/>
      <c r="B37" s="766"/>
      <c r="C37" s="69"/>
      <c r="D37" s="788"/>
      <c r="E37" s="757" t="s">
        <v>657</v>
      </c>
      <c r="F37" s="758">
        <f ca="1">INDIRECT("'数据-取费表'!r"&amp;$G$1)</f>
        <v>0</v>
      </c>
      <c r="G37" s="1919"/>
      <c r="H37" s="1922"/>
      <c r="I37" s="3596"/>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90"/>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90"/>
      <c r="J39" s="1874"/>
      <c r="K39" s="1938"/>
      <c r="L39" s="1934"/>
      <c r="M39" s="1934"/>
    </row>
    <row r="40" spans="1:18" ht="18" customHeight="1" thickBot="1">
      <c r="A40" s="2385" t="s">
        <v>1855</v>
      </c>
      <c r="B40" s="2371" t="s">
        <v>649</v>
      </c>
      <c r="C40" s="2369">
        <f ca="1">ROUND(C7*F40,1)</f>
        <v>0</v>
      </c>
      <c r="D40" s="2370" t="s">
        <v>666</v>
      </c>
      <c r="E40" s="2371" t="s">
        <v>632</v>
      </c>
      <c r="F40" s="2367">
        <f ca="1">INDIRECT("'数据-取费表'!Am"&amp;$G$1)</f>
        <v>0</v>
      </c>
      <c r="G40" s="1919"/>
      <c r="H40" s="1934"/>
      <c r="I40" s="2990"/>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63" t="s">
        <v>2903</v>
      </c>
      <c r="F43" s="2764">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71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65" t="s">
        <v>2906</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79" t="str">
        <f ca="1">IF(M48="住宅",0,IF(L49&gt;J52,L61,J61))</f>
        <v>0</v>
      </c>
      <c r="O47" s="2223" t="s">
        <v>2379</v>
      </c>
      <c r="P47" s="1502"/>
      <c r="Q47" s="1510"/>
      <c r="R47" s="1502"/>
    </row>
    <row r="48" spans="1:18" s="1916" customFormat="1" ht="18" customHeight="1" thickBot="1">
      <c r="A48" s="1940"/>
      <c r="C48" s="1943"/>
      <c r="D48" s="1944"/>
      <c r="E48" s="1944"/>
      <c r="F48" s="1945"/>
      <c r="G48" s="1946"/>
      <c r="I48" s="2770" t="s">
        <v>2313</v>
      </c>
      <c r="J48" s="2210"/>
      <c r="K48" s="2776" t="s">
        <v>2318</v>
      </c>
      <c r="L48" s="2780">
        <f ca="1">INDIRECT("'数据-取费表'!d"&amp;$G$1)</f>
        <v>0</v>
      </c>
      <c r="M48" s="2762"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67" t="s">
        <v>2314</v>
      </c>
      <c r="J49" s="2211"/>
      <c r="K49" s="2777"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67" t="s">
        <v>2315</v>
      </c>
      <c r="J50" s="2212"/>
      <c r="K50" s="2778"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67" t="s">
        <v>2316</v>
      </c>
      <c r="J51" s="2774">
        <f>SUMPRODUCT((I64:I66=J48)*(J63:L63=J49)*(J64:L66))</f>
        <v>0</v>
      </c>
      <c r="K51" s="2778" t="s">
        <v>2322</v>
      </c>
      <c r="L51" s="2213"/>
      <c r="O51" s="2230" t="s">
        <v>2352</v>
      </c>
      <c r="P51" s="2228" t="s">
        <v>2376</v>
      </c>
      <c r="Q51" s="2229">
        <f ca="1">C31</f>
        <v>0</v>
      </c>
      <c r="R51" s="2228" t="s">
        <v>2349</v>
      </c>
    </row>
    <row r="52" spans="1:18" s="1916" customFormat="1" ht="18" customHeight="1" thickBot="1">
      <c r="A52" s="1952"/>
      <c r="F52" s="1941"/>
      <c r="I52" s="2771" t="s">
        <v>2317</v>
      </c>
      <c r="J52" s="2775">
        <f>IF(J50="",J51,J50+J51-YEAR('数据-取费表'!B3))</f>
        <v>0</v>
      </c>
      <c r="K52" s="2767" t="s">
        <v>2323</v>
      </c>
      <c r="L52" s="2781">
        <f ca="1">C45</f>
        <v>0</v>
      </c>
      <c r="O52" s="2230" t="s">
        <v>2353</v>
      </c>
      <c r="P52" s="2228" t="s">
        <v>2354</v>
      </c>
      <c r="Q52" s="2231" t="e">
        <f ca="1">J59</f>
        <v>#VALUE!</v>
      </c>
      <c r="R52" s="2232"/>
    </row>
    <row r="53" spans="1:18" s="1916" customFormat="1" ht="18" customHeight="1" thickBot="1">
      <c r="A53" s="1952"/>
      <c r="F53" s="1941"/>
      <c r="I53" s="2772" t="s">
        <v>2390</v>
      </c>
      <c r="J53" s="2214"/>
      <c r="K53" s="2772" t="s">
        <v>2389</v>
      </c>
      <c r="L53" s="2214"/>
      <c r="O53" s="2230" t="s">
        <v>2355</v>
      </c>
      <c r="P53" s="2228" t="s">
        <v>2356</v>
      </c>
      <c r="Q53" s="2231">
        <f>J53</f>
        <v>0</v>
      </c>
      <c r="R53" s="2232"/>
    </row>
    <row r="54" spans="1:18" s="1916" customFormat="1" ht="29.25" thickBot="1">
      <c r="A54" s="1952"/>
      <c r="I54" s="2773" t="s">
        <v>2918</v>
      </c>
      <c r="J54" s="2826">
        <f ca="1">IF(M48="住宅",MAX(J52,L49-'数据-取费表'!B20),MIN(J52,L49-'数据-取费表'!B20))</f>
        <v>-2</v>
      </c>
      <c r="K54" s="3601"/>
      <c r="L54" s="3602"/>
      <c r="O54" s="2230" t="s">
        <v>2357</v>
      </c>
      <c r="P54" s="2228" t="s">
        <v>2358</v>
      </c>
      <c r="Q54" s="2229">
        <f ca="1">J54</f>
        <v>-2</v>
      </c>
      <c r="R54" s="2228" t="s">
        <v>2359</v>
      </c>
    </row>
    <row r="55" spans="1:18" s="1916" customFormat="1" ht="18" customHeight="1" thickBot="1">
      <c r="A55" s="1952"/>
      <c r="I55" s="27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2"/>
      <c r="K55" s="2783"/>
      <c r="O55" s="2227" t="s">
        <v>2360</v>
      </c>
      <c r="P55" s="2228" t="s">
        <v>2377</v>
      </c>
      <c r="Q55" s="2229">
        <f ca="1">Q49+Q50</f>
        <v>0</v>
      </c>
      <c r="R55" s="2232" t="s">
        <v>2361</v>
      </c>
    </row>
    <row r="56" spans="1:18" s="1916" customFormat="1" ht="16.5" thickBot="1">
      <c r="A56" s="1952"/>
      <c r="B56" s="1953"/>
      <c r="C56" s="1953"/>
      <c r="I56" s="2784" t="s">
        <v>2324</v>
      </c>
      <c r="J56" s="2756" t="e">
        <f ca="1">ROUND(IF(J48="钢混",J58/J51,1-(1-2%)*(J51-J58)/J51),3)</f>
        <v>#VALUE!</v>
      </c>
      <c r="K56" s="2785" t="s">
        <v>2325</v>
      </c>
      <c r="L56" s="2215"/>
      <c r="O56" s="2233" t="s">
        <v>2380</v>
      </c>
      <c r="P56" s="1502"/>
      <c r="Q56" s="1510"/>
      <c r="R56" s="1502"/>
    </row>
    <row r="57" spans="1:18" s="1916" customFormat="1" ht="43.5" thickBot="1">
      <c r="A57" s="1952"/>
      <c r="B57" s="1953"/>
      <c r="C57" s="1953"/>
      <c r="I57" s="2786" t="s">
        <v>2326</v>
      </c>
      <c r="J57" s="2796" t="s">
        <v>1658</v>
      </c>
      <c r="K57" s="2767" t="s">
        <v>2331</v>
      </c>
      <c r="L57" s="1797">
        <f ca="1">IF(L49&lt;J52,"——",L49-J52)</f>
        <v>0</v>
      </c>
      <c r="O57" s="2224" t="s">
        <v>2344</v>
      </c>
      <c r="P57" s="2225" t="s">
        <v>2345</v>
      </c>
      <c r="Q57" s="2226" t="s">
        <v>2346</v>
      </c>
      <c r="R57" s="2225" t="s">
        <v>2347</v>
      </c>
    </row>
    <row r="58" spans="1:18" s="1916" customFormat="1" ht="29.25" thickBot="1">
      <c r="A58" s="1952"/>
      <c r="B58" s="1953"/>
      <c r="C58" s="1953"/>
      <c r="I58" s="2787" t="s">
        <v>2327</v>
      </c>
      <c r="J58" s="2788" t="str">
        <f ca="1">IF(OR(M48="住宅",J52&lt;L49,J57="是"),"——",J52-L49)</f>
        <v>——</v>
      </c>
      <c r="K58" s="2767"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87" t="s">
        <v>2328</v>
      </c>
      <c r="J59" s="2757" t="e">
        <f ca="1">IF(J56&lt;0.4,0.4,J56)</f>
        <v>#VALUE!</v>
      </c>
      <c r="K59" s="2767"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87" t="s">
        <v>2329</v>
      </c>
      <c r="J60" s="2788" t="str">
        <f ca="1">IF(OR(M48="住宅",J52&lt;L49,J57="是"),"——",ROUND(C30*J59,0))</f>
        <v>——</v>
      </c>
      <c r="K60" s="2767"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89" t="s">
        <v>2330</v>
      </c>
      <c r="J61" s="2790" t="str">
        <f ca="1">IF(OR(M48="住宅",J52&lt;L49,J57="是"),"0",ROUND(J60/(1+J53)^J54,0))</f>
        <v>0</v>
      </c>
      <c r="K61" s="2791" t="s">
        <v>2335</v>
      </c>
      <c r="L61" s="2790"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92" t="s">
        <v>2336</v>
      </c>
      <c r="J63" s="2793" t="s">
        <v>2337</v>
      </c>
      <c r="K63" s="2793" t="s">
        <v>2338</v>
      </c>
      <c r="L63" s="2793" t="s">
        <v>2319</v>
      </c>
      <c r="M63" s="2794" t="s">
        <v>2886</v>
      </c>
      <c r="O63" s="2230" t="s">
        <v>2357</v>
      </c>
      <c r="P63" s="2228" t="s">
        <v>2365</v>
      </c>
      <c r="Q63" s="2229">
        <f ca="1">L60</f>
        <v>0</v>
      </c>
      <c r="R63" s="2232" t="s">
        <v>2366</v>
      </c>
    </row>
    <row r="64" spans="1:18" s="1916" customFormat="1" ht="15.75" thickBot="1">
      <c r="A64" s="1952"/>
      <c r="B64" s="1953"/>
      <c r="C64" s="1953"/>
      <c r="I64" s="2792" t="s">
        <v>2339</v>
      </c>
      <c r="J64" s="2793">
        <v>70</v>
      </c>
      <c r="K64" s="2793">
        <v>50</v>
      </c>
      <c r="L64" s="2793">
        <v>80</v>
      </c>
      <c r="M64" s="2795">
        <v>0.02</v>
      </c>
      <c r="O64" s="2227" t="s">
        <v>2360</v>
      </c>
      <c r="P64" s="2228" t="s">
        <v>2377</v>
      </c>
      <c r="Q64" s="2229" t="e">
        <f ca="1">Q58+Q59</f>
        <v>#DIV/0!</v>
      </c>
      <c r="R64" s="2232" t="s">
        <v>2361</v>
      </c>
    </row>
    <row r="65" spans="1:18" s="1916" customFormat="1" ht="16.5" thickBot="1">
      <c r="A65" s="1952"/>
      <c r="B65" s="1953"/>
      <c r="C65" s="1953"/>
      <c r="I65" s="2792" t="s">
        <v>2340</v>
      </c>
      <c r="J65" s="2793">
        <v>50</v>
      </c>
      <c r="K65" s="2793">
        <v>35</v>
      </c>
      <c r="L65" s="2793">
        <v>60</v>
      </c>
      <c r="M65" s="818">
        <v>0</v>
      </c>
      <c r="O65" s="2233" t="s">
        <v>2384</v>
      </c>
      <c r="P65" s="1502"/>
      <c r="Q65" s="1510"/>
      <c r="R65" s="1502"/>
    </row>
    <row r="66" spans="1:18" s="1916" customFormat="1" ht="15.75" thickBot="1">
      <c r="A66" s="1952"/>
      <c r="B66" s="1953"/>
      <c r="C66" s="1953"/>
      <c r="I66" s="2792" t="s">
        <v>2341</v>
      </c>
      <c r="J66" s="2793">
        <v>40</v>
      </c>
      <c r="K66" s="2793">
        <v>30</v>
      </c>
      <c r="L66" s="2793">
        <v>50</v>
      </c>
      <c r="M66" s="2795">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F9" sqref="F9:F42"/>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c r="D1" s="2766" t="s">
        <v>932</v>
      </c>
      <c r="E1" s="2216" t="s">
        <v>2343</v>
      </c>
      <c r="F1" s="2217">
        <f ca="1">J53</f>
        <v>0</v>
      </c>
      <c r="G1" s="3227">
        <f>MATCH(C1,'数据-取费表'!A6:A16,0)+5</f>
        <v>8</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t="e">
        <f ca="1">C40+J29+L46</f>
        <v>#DIV/0!</v>
      </c>
      <c r="C2" s="3232"/>
      <c r="D2" s="3233"/>
      <c r="E2" s="3234"/>
      <c r="F2" s="3234"/>
      <c r="G2" s="3228"/>
      <c r="H2" s="1914"/>
      <c r="I2" s="1914"/>
      <c r="J2" s="1914"/>
      <c r="K2" s="1915"/>
      <c r="L2" s="1914"/>
      <c r="M2" s="1914"/>
    </row>
    <row r="3" spans="1:33" ht="18" customHeight="1" thickBot="1">
      <c r="A3" s="805" t="s">
        <v>1707</v>
      </c>
      <c r="B3" s="806">
        <f ca="1">IF(ISERROR(B2*10000/F43),0,ROUND(B2*10000/F43,0))</f>
        <v>0</v>
      </c>
      <c r="C3" s="3232"/>
      <c r="D3" s="3233"/>
      <c r="E3" s="3234"/>
      <c r="F3" s="3234"/>
      <c r="G3" s="3228"/>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0</v>
      </c>
      <c r="D5" s="2321" t="s">
        <v>2422</v>
      </c>
      <c r="E5" s="2315"/>
      <c r="F5" s="2316"/>
      <c r="G5" s="1919"/>
      <c r="H5" s="754">
        <v>1</v>
      </c>
      <c r="I5" s="755" t="s">
        <v>2419</v>
      </c>
      <c r="J5" s="55">
        <f ca="1">J6+J10+J12</f>
        <v>0</v>
      </c>
      <c r="K5" s="2321" t="s">
        <v>2422</v>
      </c>
      <c r="L5" s="2315"/>
      <c r="M5" s="2316"/>
    </row>
    <row r="6" spans="1:33" ht="18" customHeight="1">
      <c r="A6" s="1720" t="s">
        <v>1804</v>
      </c>
      <c r="B6" s="3597" t="s">
        <v>2424</v>
      </c>
      <c r="C6" s="756">
        <f ca="1">ROUND(F6*F8*F7*(1-F9)/10000,0)</f>
        <v>0</v>
      </c>
      <c r="D6" s="2322" t="s">
        <v>2423</v>
      </c>
      <c r="E6" s="757" t="s">
        <v>1718</v>
      </c>
      <c r="F6" s="758">
        <f ca="1">INDIRECT("'数据-取费表'!u"&amp;$G$1)</f>
        <v>0</v>
      </c>
      <c r="G6" s="1919"/>
      <c r="H6" s="2329" t="s">
        <v>2429</v>
      </c>
      <c r="I6" s="3597" t="s">
        <v>2424</v>
      </c>
      <c r="J6" s="756">
        <f ca="1">ROUND(M6*M8*M7*(1-M9)/10000,0)</f>
        <v>0</v>
      </c>
      <c r="K6" s="339" t="s">
        <v>1717</v>
      </c>
      <c r="L6" s="757" t="s">
        <v>1718</v>
      </c>
      <c r="M6" s="758">
        <f ca="1">INDIRECT("'数据-取费表'!z"&amp;$G$1)</f>
        <v>0</v>
      </c>
    </row>
    <row r="7" spans="1:33" ht="18" customHeight="1">
      <c r="A7" s="2325"/>
      <c r="B7" s="3598"/>
      <c r="C7" s="761"/>
      <c r="D7" s="762"/>
      <c r="E7" s="757" t="s">
        <v>1719</v>
      </c>
      <c r="F7" s="758">
        <f ca="1">IF(INDIRECT("'数据-取费表'!ah"&amp;$G$1)="",INDIRECT("'数据-取费表'!k"&amp;$G$1),INDIRECT("'数据-取费表'!ah"&amp;$G$1))</f>
        <v>0</v>
      </c>
      <c r="G7" s="1919"/>
      <c r="H7" s="2314"/>
      <c r="I7" s="3598"/>
      <c r="J7" s="761"/>
      <c r="K7" s="762"/>
      <c r="L7" s="757" t="s">
        <v>1719</v>
      </c>
      <c r="M7" s="758">
        <f ca="1">F7</f>
        <v>0</v>
      </c>
    </row>
    <row r="8" spans="1:33" ht="18" customHeight="1">
      <c r="A8" s="2318"/>
      <c r="B8" s="3599"/>
      <c r="C8" s="761"/>
      <c r="D8" s="762"/>
      <c r="E8" s="757" t="s">
        <v>1720</v>
      </c>
      <c r="F8" s="758">
        <f ca="1">INDIRECT("'数据-取费表'!ai"&amp;$G$1)</f>
        <v>0</v>
      </c>
      <c r="G8" s="1919"/>
      <c r="H8" s="2314"/>
      <c r="I8" s="3599"/>
      <c r="J8" s="761"/>
      <c r="K8" s="762"/>
      <c r="L8" s="757" t="s">
        <v>1720</v>
      </c>
      <c r="M8" s="758">
        <f ca="1">INDIRECT("'数据-取费表'!ai"&amp;$G$1)</f>
        <v>0</v>
      </c>
    </row>
    <row r="9" spans="1:33" ht="18" customHeight="1">
      <c r="A9" s="759"/>
      <c r="B9" s="3600"/>
      <c r="C9" s="761"/>
      <c r="D9" s="762"/>
      <c r="E9" s="757" t="s">
        <v>1721</v>
      </c>
      <c r="F9" s="767">
        <f ca="1">INDIRECT("'数据-取费表'!w"&amp;$G$1)</f>
        <v>0</v>
      </c>
      <c r="G9" s="1919"/>
      <c r="H9" s="2330"/>
      <c r="I9" s="3599"/>
      <c r="J9" s="761"/>
      <c r="K9" s="762"/>
      <c r="L9" s="768" t="s">
        <v>1721</v>
      </c>
      <c r="M9" s="769">
        <f ca="1">INDIRECT("'数据-取费表'!ab"&amp;$G$1)</f>
        <v>0</v>
      </c>
    </row>
    <row r="10" spans="1:33" ht="18" customHeight="1">
      <c r="A10" s="1720" t="s">
        <v>2427</v>
      </c>
      <c r="B10" s="2319" t="s">
        <v>2420</v>
      </c>
      <c r="C10" s="772">
        <f ca="1">ROUND(IF(F10="押一",C6/12*F11,IF(F10="押二",C6/12*2*F11,IF(F10="押三",C6/12*3*F11,C11*F11))),0)</f>
        <v>0</v>
      </c>
      <c r="D10" s="2326" t="s">
        <v>2914</v>
      </c>
      <c r="E10" s="2323" t="s">
        <v>2425</v>
      </c>
      <c r="F10" s="2436"/>
      <c r="G10" s="1919"/>
      <c r="H10" s="2386" t="s">
        <v>2430</v>
      </c>
      <c r="I10" s="2391" t="s">
        <v>2420</v>
      </c>
      <c r="J10" s="756">
        <f ca="1">ROUND(IF(M10="押一",J6/12*M11,IF(M10="押二",J6/12*2*M11,IF(M10="押三",J6/12*3*M11,J11*M11))),0)</f>
        <v>0</v>
      </c>
      <c r="K10" s="2326" t="s">
        <v>2914</v>
      </c>
      <c r="L10" s="2323" t="s">
        <v>2425</v>
      </c>
      <c r="M10" s="2436"/>
    </row>
    <row r="11" spans="1:33" ht="18" customHeight="1">
      <c r="A11" s="763"/>
      <c r="B11" s="2320" t="s">
        <v>2534</v>
      </c>
      <c r="C11" s="2324"/>
      <c r="D11" s="762"/>
      <c r="E11" s="2323" t="s">
        <v>2426</v>
      </c>
      <c r="F11" s="769">
        <f ca="1">'数据-取费表'!B39</f>
        <v>1.4999999999999999E-2</v>
      </c>
      <c r="G11" s="1919"/>
      <c r="H11" s="2387"/>
      <c r="I11" s="2320" t="s">
        <v>2534</v>
      </c>
      <c r="J11" s="2324"/>
      <c r="K11" s="2388"/>
      <c r="L11" s="2323" t="s">
        <v>2426</v>
      </c>
      <c r="M11" s="2317">
        <f ca="1">'数据-取费表'!B39</f>
        <v>1.4999999999999999E-2</v>
      </c>
    </row>
    <row r="12" spans="1:33" ht="18" customHeight="1" thickBot="1">
      <c r="A12" s="2362" t="s">
        <v>2428</v>
      </c>
      <c r="B12" s="2363" t="s">
        <v>2421</v>
      </c>
      <c r="C12" s="2364"/>
      <c r="D12" s="2365"/>
      <c r="E12" s="2366"/>
      <c r="F12" s="2367"/>
      <c r="G12" s="1919"/>
      <c r="H12" s="2376" t="s">
        <v>2431</v>
      </c>
      <c r="I12" s="2389" t="s">
        <v>2421</v>
      </c>
      <c r="J12" s="2390"/>
      <c r="K12" s="2365"/>
      <c r="L12" s="2366"/>
      <c r="M12" s="2379"/>
    </row>
    <row r="13" spans="1:33" ht="18" customHeight="1" thickTop="1">
      <c r="A13" s="1719">
        <v>2</v>
      </c>
      <c r="B13" s="1717" t="s">
        <v>1722</v>
      </c>
      <c r="C13" s="765">
        <f ca="1">ROUND(C29*F13,0)</f>
        <v>0</v>
      </c>
      <c r="D13" s="1724" t="s">
        <v>2269</v>
      </c>
      <c r="E13" s="1724" t="s">
        <v>1724</v>
      </c>
      <c r="F13" s="2361">
        <f ca="1">INDIRECT("'数据-取费表'!y"&amp;$G$1)</f>
        <v>0</v>
      </c>
      <c r="G13" s="1919"/>
      <c r="H13" s="1719">
        <v>2</v>
      </c>
      <c r="I13" s="1717" t="s">
        <v>1722</v>
      </c>
      <c r="J13" s="1709">
        <f ca="1">ROUND(J14*J15,0)</f>
        <v>0</v>
      </c>
      <c r="K13" s="1711" t="s">
        <v>1723</v>
      </c>
      <c r="L13" s="2377"/>
      <c r="M13" s="2378"/>
    </row>
    <row r="14" spans="1:33" ht="18" customHeight="1">
      <c r="A14" s="1551" t="s">
        <v>1860</v>
      </c>
      <c r="B14" s="757" t="s">
        <v>628</v>
      </c>
      <c r="C14" s="777">
        <f ca="1">INDIRECT("'数据-取费表'!m"&amp;$G$1)+INDIRECT("'数据-取费表'!t"&amp;$G$1)</f>
        <v>0</v>
      </c>
      <c r="D14" s="1867" t="s">
        <v>1725</v>
      </c>
      <c r="E14" s="1868"/>
      <c r="F14" s="778"/>
      <c r="G14" s="1919"/>
      <c r="H14" s="1552" t="s">
        <v>1810</v>
      </c>
      <c r="I14" s="2085" t="s">
        <v>2784</v>
      </c>
      <c r="J14" s="53">
        <f ca="1">C29</f>
        <v>0</v>
      </c>
      <c r="K14" s="26"/>
      <c r="L14" s="774"/>
      <c r="M14" s="775"/>
    </row>
    <row r="15" spans="1:33" s="1921" customFormat="1" ht="18" customHeight="1" thickBot="1">
      <c r="A15" s="1551" t="s">
        <v>1861</v>
      </c>
      <c r="B15" s="757" t="s">
        <v>630</v>
      </c>
      <c r="C15" s="53">
        <f ca="1">ROUND(C14*F15,0)</f>
        <v>0</v>
      </c>
      <c r="D15" s="779" t="s">
        <v>1726</v>
      </c>
      <c r="E15" s="779" t="s">
        <v>1727</v>
      </c>
      <c r="F15" s="780">
        <f>'数据-取费表'!B33</f>
        <v>0.03</v>
      </c>
      <c r="G15" s="3229"/>
      <c r="H15" s="2376" t="s">
        <v>1865</v>
      </c>
      <c r="I15" s="2371" t="s">
        <v>1724</v>
      </c>
      <c r="J15" s="2380">
        <f ca="1">INDIRECT("'数据-取费表'!ad"&amp;$G$1)</f>
        <v>0</v>
      </c>
      <c r="K15" s="2381"/>
      <c r="L15" s="2382"/>
      <c r="M15" s="2383"/>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0</v>
      </c>
      <c r="K16" s="1711" t="s">
        <v>1730</v>
      </c>
      <c r="L16" s="2311"/>
      <c r="M16" s="2316"/>
    </row>
    <row r="17" spans="1:33" s="1921" customFormat="1" ht="18" customHeight="1">
      <c r="A17" s="1551" t="s">
        <v>1863</v>
      </c>
      <c r="B17" s="757" t="s">
        <v>636</v>
      </c>
      <c r="C17" s="53">
        <f ca="1">ROUND(F17*(F43+INDIRECT("'数据-取费表'!S"&amp;$G$1))/10000,0)</f>
        <v>0</v>
      </c>
      <c r="D17" s="757" t="s">
        <v>1731</v>
      </c>
      <c r="E17" s="757" t="s">
        <v>1732</v>
      </c>
      <c r="F17" s="56">
        <f>'数据-取费表'!B35</f>
        <v>200</v>
      </c>
      <c r="G17" s="3229"/>
      <c r="H17" s="1552" t="s">
        <v>1810</v>
      </c>
      <c r="I17" s="757" t="s">
        <v>639</v>
      </c>
      <c r="J17" s="2987">
        <f ca="1">ROUND(IF(AND(项目基本情况!B11="自然人",项目基本情况!B10="北京市"),J6*M17/(1+'数据-取费表'!C42),J18+J19+J20),0)</f>
        <v>0</v>
      </c>
      <c r="K17" s="2310" t="s">
        <v>1733</v>
      </c>
      <c r="L17" s="2309" t="s">
        <v>1734</v>
      </c>
      <c r="M17" s="2986">
        <f ca="1">IF(项目基本情况!B11="企业","——",IF('数据-取费表'!B10="住宅",IF(M6*M7*M8/12/(1+'数据-取费表'!F30)&gt;100000,4%,2.5%),IF(M6*M7*M8/12/(1+'数据-取费表'!F30)&gt;100000,12%,7%)))</f>
        <v>7.0000000000000007E-2</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0</v>
      </c>
      <c r="D18" s="757" t="s">
        <v>1726</v>
      </c>
      <c r="E18" s="757" t="s">
        <v>1727</v>
      </c>
      <c r="F18" s="782">
        <f>'数据-取费表'!B36</f>
        <v>1.4999999999999999E-2</v>
      </c>
      <c r="G18" s="3229"/>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0</v>
      </c>
      <c r="D19" s="259" t="s">
        <v>1737</v>
      </c>
      <c r="E19" s="1870"/>
      <c r="F19" s="56"/>
      <c r="G19" s="1919"/>
      <c r="H19" s="1551"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21" customFormat="1" ht="18" customHeight="1">
      <c r="A20" s="1552" t="s">
        <v>1865</v>
      </c>
      <c r="B20" s="757" t="s">
        <v>649</v>
      </c>
      <c r="C20" s="53">
        <f ca="1">ROUND(C19*F20,0)</f>
        <v>0</v>
      </c>
      <c r="D20" s="784" t="s">
        <v>1739</v>
      </c>
      <c r="E20" s="757" t="s">
        <v>1727</v>
      </c>
      <c r="F20" s="782">
        <f>'数据-取费表'!B37</f>
        <v>2.5000000000000001E-2</v>
      </c>
      <c r="G20" s="3229"/>
      <c r="H20" s="1554" t="s">
        <v>1856</v>
      </c>
      <c r="I20" s="339" t="s">
        <v>1740</v>
      </c>
      <c r="J20" s="54">
        <f ca="1">ROUND(M20*M21/10000,0)</f>
        <v>0</v>
      </c>
      <c r="K20" s="786" t="s">
        <v>1741</v>
      </c>
      <c r="L20" s="757" t="s">
        <v>1742</v>
      </c>
      <c r="M20" s="615">
        <f>'数据-取费表'!B52</f>
        <v>6</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0.03</v>
      </c>
      <c r="G21" s="3229"/>
      <c r="H21" s="2331"/>
      <c r="I21" s="766"/>
      <c r="J21" s="69"/>
      <c r="K21" s="788"/>
      <c r="L21" s="757" t="s">
        <v>1746</v>
      </c>
      <c r="M21" s="758">
        <f ca="1">INDIRECT("'数据-取费表'!r"&amp;$G$1)</f>
        <v>0</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95"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0</v>
      </c>
      <c r="K22" s="2309" t="s">
        <v>1749</v>
      </c>
      <c r="L22" s="757" t="s">
        <v>1727</v>
      </c>
      <c r="M22" s="789">
        <f ca="1">INDIRECT("'数据-取费表'!Ak"&amp;$G$1)</f>
        <v>0</v>
      </c>
    </row>
    <row r="23" spans="1:33" s="1921" customFormat="1" ht="18" customHeight="1">
      <c r="A23" s="1551" t="s">
        <v>1811</v>
      </c>
      <c r="B23" s="757" t="s">
        <v>2496</v>
      </c>
      <c r="C23" s="53">
        <f ca="1">ROUND(IF('数据-取费表'!B22&lt;=1,(C19+C20)*F24*F23/2,(C19+C20)*(POWER((1+F24),F23/2)-1)),0)</f>
        <v>0</v>
      </c>
      <c r="D23" s="2394" t="str">
        <f>IF(F23&lt;=1,"(建造成本+管理费用)×利率×(建设周期÷2)","(建造成本+管理费用)×((1+利率)^(建设周期÷2)-1)")</f>
        <v>(建造成本+管理费用)×((1+利率)^(建设周期÷2)-1)</v>
      </c>
      <c r="E23" s="757" t="s">
        <v>1750</v>
      </c>
      <c r="F23" s="615">
        <f>'数据-取费表'!B20</f>
        <v>2</v>
      </c>
      <c r="G23" s="3229"/>
      <c r="H23" s="1552" t="s">
        <v>1866</v>
      </c>
      <c r="I23" s="757" t="s">
        <v>662</v>
      </c>
      <c r="J23" s="53">
        <f ca="1">ROUND(J13*M23,0)</f>
        <v>0</v>
      </c>
      <c r="K23" s="2309" t="s">
        <v>1751</v>
      </c>
      <c r="L23" s="757" t="s">
        <v>1727</v>
      </c>
      <c r="M23" s="790">
        <f ca="1">INDIRECT("'数据-取费表'!Al"&amp;$G$1)</f>
        <v>0</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1.2999999999999999E-3</v>
      </c>
      <c r="D24" s="2394" t="str">
        <f>IF(F23&lt;=1,"销售费用×利率×(建设周期÷2)","销售费用×((1+利率)^(建设周期÷2)-1)")</f>
        <v>销售费用×((1+利率)^(建设周期÷2)-1)</v>
      </c>
      <c r="E24" s="757" t="s">
        <v>1753</v>
      </c>
      <c r="F24" s="791">
        <f ca="1">'数据-取费表'!B40</f>
        <v>4.3499999999999997E-2</v>
      </c>
      <c r="G24" s="3229"/>
      <c r="H24" s="2376" t="s">
        <v>1867</v>
      </c>
      <c r="I24" s="2371" t="s">
        <v>649</v>
      </c>
      <c r="J24" s="2369">
        <f ca="1">ROUND(J5*M24,0)</f>
        <v>0</v>
      </c>
      <c r="K24" s="2370" t="s">
        <v>1754</v>
      </c>
      <c r="L24" s="2371" t="s">
        <v>1727</v>
      </c>
      <c r="M24" s="2367">
        <f ca="1">INDIRECT("'数据-取费表'!Am"&amp;$G$1)</f>
        <v>0</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93" t="s">
        <v>2780</v>
      </c>
      <c r="J25" s="765">
        <f ca="1">J5-J16</f>
        <v>0</v>
      </c>
      <c r="K25" s="2373" t="s">
        <v>1757</v>
      </c>
      <c r="L25" s="2374"/>
      <c r="M25" s="2375"/>
    </row>
    <row r="26" spans="1:33" ht="18" customHeight="1">
      <c r="A26" s="1551" t="s">
        <v>1811</v>
      </c>
      <c r="B26" s="757" t="s">
        <v>2402</v>
      </c>
      <c r="C26" s="53">
        <f ca="1">ROUND((C19+C20)*F26,0)</f>
        <v>0</v>
      </c>
      <c r="D26" s="784" t="s">
        <v>1758</v>
      </c>
      <c r="E26" s="768" t="s">
        <v>1759</v>
      </c>
      <c r="F26" s="767">
        <f ca="1">INDIRECT("'数据-取费表'!q"&amp;$G$1)</f>
        <v>0</v>
      </c>
      <c r="G26" s="1919"/>
      <c r="H26" s="2327" t="s">
        <v>1760</v>
      </c>
      <c r="I26" s="2086" t="s">
        <v>2785</v>
      </c>
      <c r="J26" s="756">
        <f ca="1">IF(J5&lt;&gt;0,ROUND(J25*(1-((1+M28)/(1+M26))^M27)/(M26-M28),0),0)</f>
        <v>0</v>
      </c>
      <c r="K26" s="786" t="s">
        <v>1761</v>
      </c>
      <c r="L26" s="757" t="s">
        <v>2388</v>
      </c>
      <c r="M26" s="767">
        <f ca="1">INDIRECT("'数据-取费表'!I"&amp;$G$1)</f>
        <v>0</v>
      </c>
    </row>
    <row r="27" spans="1:33" ht="18" customHeight="1">
      <c r="A27" s="1551" t="s">
        <v>1812</v>
      </c>
      <c r="B27" s="757" t="s">
        <v>669</v>
      </c>
      <c r="C27" s="53">
        <f ca="1">ROUND(F21*F26,4)</f>
        <v>0</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229"/>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68" t="s">
        <v>1868</v>
      </c>
      <c r="B29" s="2366" t="s">
        <v>2272</v>
      </c>
      <c r="C29" s="2369">
        <f ca="1">ROUND((C19+C20+C23+C26)/(1-F21-C24-C27-C28),0)</f>
        <v>0</v>
      </c>
      <c r="D29" s="2370"/>
      <c r="E29" s="2371"/>
      <c r="F29" s="2372"/>
      <c r="G29" s="3229"/>
      <c r="H29" s="795" t="s">
        <v>1767</v>
      </c>
      <c r="I29" s="796" t="s">
        <v>1768</v>
      </c>
      <c r="J29" s="797">
        <f ca="1">ROUND(J26/(1+F40)^F41,0)</f>
        <v>0</v>
      </c>
      <c r="K29" s="798" t="s">
        <v>1769</v>
      </c>
      <c r="L29" s="799"/>
      <c r="M29" s="800">
        <f ca="1">INDIRECT("'数据-取费表'!k"&amp;$G$1)</f>
        <v>0</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0</v>
      </c>
      <c r="D30" s="1711" t="s">
        <v>1771</v>
      </c>
      <c r="E30" s="2311"/>
      <c r="F30" s="2316"/>
      <c r="G30" s="1919"/>
      <c r="H30" s="1922"/>
      <c r="I30" s="1923"/>
      <c r="J30" s="1924"/>
      <c r="K30" s="1925"/>
      <c r="L30" s="1926"/>
      <c r="M30" s="1927"/>
    </row>
    <row r="31" spans="1:33" ht="18" customHeight="1">
      <c r="A31" s="1552" t="s">
        <v>1810</v>
      </c>
      <c r="B31" s="757" t="s">
        <v>639</v>
      </c>
      <c r="C31" s="2987">
        <f ca="1">ROUND(IF(AND(项目基本情况!B11="自然人",项目基本情况!B10="北京市"),C6*F31/(1+'数据-取费表'!C42),C32+C33+C34),0)</f>
        <v>0</v>
      </c>
      <c r="D31" s="1867" t="s">
        <v>1772</v>
      </c>
      <c r="E31" s="1865" t="s">
        <v>1773</v>
      </c>
      <c r="F31" s="2986">
        <f ca="1">IF(项目基本情况!B11="企业","——",IF('数据-取费表'!B10="住宅",IF(F6*F7*F8/12/(1+'数据-取费表'!F30)&gt;100000,4%,2.5%),IF(F6*F7*F8/12/(1+'数据-取费表'!F30)&gt;100000,12%,7%)))</f>
        <v>7.0000000000000007E-2</v>
      </c>
      <c r="G31" s="1919"/>
      <c r="H31" s="3226" t="s">
        <v>2971</v>
      </c>
      <c r="I31" s="1923"/>
      <c r="J31" s="1924"/>
      <c r="K31" s="1925"/>
      <c r="L31" s="1926"/>
      <c r="M31" s="1927"/>
    </row>
    <row r="32" spans="1:33" ht="18" customHeight="1">
      <c r="A32" s="1551" t="s">
        <v>1811</v>
      </c>
      <c r="B32" s="757" t="s">
        <v>1774</v>
      </c>
      <c r="C32" s="53">
        <f ca="1">ROUND(C6*F32/(1+'数据-取费表'!C42),1)</f>
        <v>0</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9"/>
      <c r="H33" s="1934"/>
      <c r="I33" s="1934"/>
      <c r="J33" s="1934"/>
      <c r="K33" s="1935"/>
      <c r="L33" s="1934"/>
      <c r="M33" s="1934"/>
    </row>
    <row r="34" spans="1:18" ht="18" customHeight="1">
      <c r="A34" s="1554" t="s">
        <v>1813</v>
      </c>
      <c r="B34" s="339" t="s">
        <v>1778</v>
      </c>
      <c r="C34" s="54">
        <f ca="1">ROUND(F34*F35/10000,1)</f>
        <v>0</v>
      </c>
      <c r="D34" s="786" t="s">
        <v>1779</v>
      </c>
      <c r="E34" s="757" t="s">
        <v>1780</v>
      </c>
      <c r="F34" s="615">
        <f>'数据-取费表'!B52</f>
        <v>6</v>
      </c>
      <c r="G34" s="1919"/>
      <c r="H34" s="1922"/>
      <c r="I34" s="807" t="s">
        <v>1793</v>
      </c>
      <c r="J34" s="808"/>
      <c r="K34" s="1937"/>
      <c r="L34" s="1936"/>
      <c r="M34" s="1936"/>
    </row>
    <row r="35" spans="1:18" ht="18" customHeight="1">
      <c r="A35" s="787"/>
      <c r="B35" s="766"/>
      <c r="C35" s="69"/>
      <c r="D35" s="788"/>
      <c r="E35" s="757" t="s">
        <v>1781</v>
      </c>
      <c r="F35" s="758">
        <f ca="1">INDIRECT("'数据-取费表'!r"&amp;$G$1)</f>
        <v>0</v>
      </c>
      <c r="G35" s="1919"/>
      <c r="H35" s="1922"/>
      <c r="I35" s="809" t="s">
        <v>1794</v>
      </c>
      <c r="J35" s="810">
        <f ca="1">ROUND(C13*J36,0)</f>
        <v>0</v>
      </c>
      <c r="K35" s="1935"/>
      <c r="L35" s="1934"/>
      <c r="M35" s="1934"/>
    </row>
    <row r="36" spans="1:18" ht="18" customHeight="1">
      <c r="A36" s="1552" t="s">
        <v>1865</v>
      </c>
      <c r="B36" s="757" t="s">
        <v>1782</v>
      </c>
      <c r="C36" s="53">
        <f ca="1">ROUND(C29*F36,1)</f>
        <v>0</v>
      </c>
      <c r="D36" s="1865" t="s">
        <v>1783</v>
      </c>
      <c r="E36" s="757" t="s">
        <v>1776</v>
      </c>
      <c r="F36" s="789">
        <f ca="1">INDIRECT("'数据-取费表'!Ak"&amp;$G$1)</f>
        <v>0</v>
      </c>
      <c r="G36" s="1919"/>
      <c r="H36" s="1934"/>
      <c r="I36" s="811" t="s">
        <v>1795</v>
      </c>
      <c r="J36" s="812">
        <f ca="1">INDIRECT("'数据-取费表'!j"&amp;$G$1)</f>
        <v>0</v>
      </c>
      <c r="K36" s="1938"/>
      <c r="L36" s="1934"/>
      <c r="M36" s="1934"/>
    </row>
    <row r="37" spans="1:18" ht="18" customHeight="1">
      <c r="A37" s="1552" t="s">
        <v>1866</v>
      </c>
      <c r="B37" s="757" t="s">
        <v>662</v>
      </c>
      <c r="C37" s="53">
        <f ca="1">ROUND(C13*F37,1)</f>
        <v>0</v>
      </c>
      <c r="D37" s="1865" t="s">
        <v>1784</v>
      </c>
      <c r="E37" s="757" t="s">
        <v>1776</v>
      </c>
      <c r="F37" s="790">
        <f ca="1">INDIRECT("'数据-取费表'!Al"&amp;$G$1)</f>
        <v>0</v>
      </c>
      <c r="G37" s="1919"/>
      <c r="H37" s="1934"/>
      <c r="I37" s="813" t="s">
        <v>1796</v>
      </c>
      <c r="J37" s="814"/>
      <c r="K37" s="1938"/>
      <c r="L37" s="1934"/>
      <c r="M37" s="1934"/>
    </row>
    <row r="38" spans="1:18" ht="18" customHeight="1" thickBot="1">
      <c r="A38" s="2376" t="s">
        <v>1867</v>
      </c>
      <c r="B38" s="2371" t="s">
        <v>649</v>
      </c>
      <c r="C38" s="2369">
        <f ca="1">ROUND(C5*F38,1)</f>
        <v>0</v>
      </c>
      <c r="D38" s="2370" t="s">
        <v>1785</v>
      </c>
      <c r="E38" s="2371" t="s">
        <v>1776</v>
      </c>
      <c r="F38" s="2367">
        <f ca="1">INDIRECT("'数据-取费表'!Am"&amp;$G$1)</f>
        <v>0</v>
      </c>
      <c r="G38" s="1919"/>
      <c r="H38" s="1934"/>
      <c r="I38" s="815" t="s">
        <v>1797</v>
      </c>
      <c r="J38" s="816"/>
      <c r="K38" s="1939"/>
      <c r="L38" s="1934"/>
      <c r="M38" s="1934"/>
    </row>
    <row r="39" spans="1:18" ht="24.6" customHeight="1" thickTop="1">
      <c r="A39" s="1719" t="s">
        <v>1870</v>
      </c>
      <c r="B39" s="2693" t="s">
        <v>2780</v>
      </c>
      <c r="C39" s="765">
        <f ca="1">C5-C30</f>
        <v>0</v>
      </c>
      <c r="D39" s="2373" t="s">
        <v>1786</v>
      </c>
      <c r="E39" s="2374"/>
      <c r="F39" s="2375"/>
      <c r="G39" s="1919"/>
      <c r="H39" s="1934"/>
      <c r="I39" s="809" t="s">
        <v>1798</v>
      </c>
      <c r="J39" s="817" t="e">
        <f ca="1">ROUND(J35/C39,3)</f>
        <v>#DIV/0!</v>
      </c>
      <c r="K39" s="1939"/>
      <c r="L39" s="1934"/>
      <c r="M39" s="1934"/>
    </row>
    <row r="40" spans="1:18" ht="18" customHeight="1">
      <c r="A40" s="754" t="s">
        <v>1871</v>
      </c>
      <c r="B40" s="2086" t="s">
        <v>2273</v>
      </c>
      <c r="C40" s="756" t="e">
        <f ca="1">ROUND(C39*(1-((1+F42)/(1+F40))^F41)/(F40-F42),0)</f>
        <v>#DIV/0!</v>
      </c>
      <c r="D40" s="786" t="s">
        <v>1787</v>
      </c>
      <c r="E40" s="757" t="s">
        <v>2388</v>
      </c>
      <c r="F40" s="767">
        <f ca="1">INDIRECT("'数据-取费表'!I"&amp;$G$1)</f>
        <v>0</v>
      </c>
      <c r="G40" s="1919"/>
      <c r="H40" s="1919"/>
      <c r="I40" s="809" t="s">
        <v>1799</v>
      </c>
      <c r="J40" s="817" t="e">
        <f ca="1">1-J39</f>
        <v>#DIV/0!</v>
      </c>
      <c r="K40" s="1939"/>
      <c r="L40" s="1919"/>
      <c r="M40" s="1919"/>
    </row>
    <row r="41" spans="1:18" ht="18" customHeight="1">
      <c r="A41" s="759"/>
      <c r="B41" s="760"/>
      <c r="C41" s="761"/>
      <c r="D41" s="793" t="s">
        <v>1788</v>
      </c>
      <c r="E41" s="757" t="s">
        <v>2905</v>
      </c>
      <c r="F41" s="794">
        <f ca="1">IF(INDIRECT("'数据-取费表'!af"&amp;$G$1)=0,INDIRECT("'数据-取费表'!ae"&amp;$G$1),INDIRECT("'数据-取费表'!af"&amp;$G$1))</f>
        <v>0</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t="e">
        <f ca="1">ROUND(C13/C40,3)</f>
        <v>#DIV/0!</v>
      </c>
      <c r="K42" s="1938"/>
      <c r="L42" s="1874"/>
      <c r="M42" s="1874"/>
    </row>
    <row r="43" spans="1:18" ht="18" customHeight="1" thickBot="1">
      <c r="A43" s="795" t="s">
        <v>1767</v>
      </c>
      <c r="B43" s="796" t="s">
        <v>1790</v>
      </c>
      <c r="C43" s="797" t="e">
        <f ca="1">ROUND(C40*10000/F43,0)</f>
        <v>#DIV/0!</v>
      </c>
      <c r="D43" s="798" t="s">
        <v>1791</v>
      </c>
      <c r="E43" s="799" t="s">
        <v>1792</v>
      </c>
      <c r="F43" s="800">
        <f ca="1">INDIRECT("'数据-取费表'!k"&amp;$G$1)</f>
        <v>0</v>
      </c>
      <c r="G43" s="1919"/>
      <c r="H43" s="1874"/>
      <c r="I43" s="819" t="s">
        <v>1802</v>
      </c>
      <c r="J43" s="820" t="e">
        <f ca="1">1-J42</f>
        <v>#DIV/0!</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97" t="e">
        <f ca="1">C67-C40</f>
        <v>#DIV/0!</v>
      </c>
      <c r="D46" s="3230"/>
      <c r="E46" s="3230"/>
      <c r="F46" s="3230"/>
      <c r="I46" s="2207" t="s">
        <v>2312</v>
      </c>
      <c r="J46" s="2208"/>
      <c r="K46" s="2209"/>
      <c r="L46" s="2779" t="e">
        <f ca="1">IF(OR(M47="住宅",D1="土地（套用方法）"),0,IF(L48&gt;J51,L60,J60))</f>
        <v>#DIV/0!</v>
      </c>
      <c r="M46" s="3231"/>
      <c r="O46" s="2223" t="s">
        <v>2379</v>
      </c>
      <c r="P46" s="1502"/>
      <c r="Q46" s="1510"/>
      <c r="R46" s="1502"/>
    </row>
    <row r="47" spans="1:18" s="1916" customFormat="1" ht="18" customHeight="1" thickBot="1">
      <c r="A47" s="2201">
        <v>1</v>
      </c>
      <c r="B47" s="2202" t="s">
        <v>618</v>
      </c>
      <c r="C47" s="2397">
        <f ca="1">C48+C52+C54</f>
        <v>0</v>
      </c>
      <c r="D47" s="3230"/>
      <c r="E47" s="3230"/>
      <c r="F47" s="3230"/>
      <c r="I47" s="2770" t="s">
        <v>2313</v>
      </c>
      <c r="J47" s="2210"/>
      <c r="K47" s="2776" t="s">
        <v>2318</v>
      </c>
      <c r="L47" s="2780">
        <f ca="1">INDIRECT("'数据-取费表'!d"&amp;$G$1)</f>
        <v>0</v>
      </c>
      <c r="M47" s="1510" t="str">
        <f>IF(ISNUMBER(FIND("住宅",C1)),"住宅","非住宅")</f>
        <v>非住宅</v>
      </c>
      <c r="O47" s="2224" t="s">
        <v>2344</v>
      </c>
      <c r="P47" s="2225" t="s">
        <v>2345</v>
      </c>
      <c r="Q47" s="2226" t="s">
        <v>2346</v>
      </c>
      <c r="R47" s="2225" t="s">
        <v>2347</v>
      </c>
    </row>
    <row r="48" spans="1:18" s="1916" customFormat="1" ht="18" customHeight="1" thickBot="1">
      <c r="A48" s="2455" t="s">
        <v>2498</v>
      </c>
      <c r="B48" s="2456" t="s">
        <v>2499</v>
      </c>
      <c r="C48" s="2203">
        <f ca="1">ROUND(F48*F50*F49*(1-F51)/10000,0)</f>
        <v>0</v>
      </c>
      <c r="D48" s="2204" t="s">
        <v>619</v>
      </c>
      <c r="E48" s="2205" t="s">
        <v>2268</v>
      </c>
      <c r="F48" s="2206"/>
      <c r="G48" s="1946"/>
      <c r="I48" s="2767" t="s">
        <v>2314</v>
      </c>
      <c r="J48" s="2211"/>
      <c r="K48" s="2777" t="s">
        <v>2320</v>
      </c>
      <c r="L48" s="1797">
        <f ca="1">INDIRECT("'数据-取费表'!f"&amp;$G$1)</f>
        <v>0</v>
      </c>
      <c r="M48" s="3231"/>
      <c r="O48" s="2227" t="s">
        <v>2348</v>
      </c>
      <c r="P48" s="2228" t="s">
        <v>2374</v>
      </c>
      <c r="Q48" s="2229" t="e">
        <f ca="1">C40+J29</f>
        <v>#DIV/0!</v>
      </c>
      <c r="R48" s="2228" t="s">
        <v>2349</v>
      </c>
    </row>
    <row r="49" spans="1:18" s="1916" customFormat="1" ht="18" customHeight="1" thickBot="1">
      <c r="A49" s="759"/>
      <c r="B49" s="760"/>
      <c r="C49" s="761"/>
      <c r="D49" s="762"/>
      <c r="E49" s="757" t="s">
        <v>1719</v>
      </c>
      <c r="F49" s="758">
        <f ca="1">F7</f>
        <v>0</v>
      </c>
      <c r="G49" s="1946"/>
      <c r="H49" s="1949"/>
      <c r="I49" s="2767" t="s">
        <v>2315</v>
      </c>
      <c r="J49" s="2212"/>
      <c r="K49" s="2778" t="s">
        <v>2321</v>
      </c>
      <c r="L49" s="2213"/>
      <c r="M49" s="3231"/>
      <c r="O49" s="2227" t="s">
        <v>2350</v>
      </c>
      <c r="P49" s="2228" t="s">
        <v>2375</v>
      </c>
      <c r="Q49" s="2229" t="e">
        <f ca="1">J60</f>
        <v>#DIV/0!</v>
      </c>
      <c r="R49" s="2228" t="s">
        <v>2351</v>
      </c>
    </row>
    <row r="50" spans="1:18" s="1916" customFormat="1" ht="18" customHeight="1" thickBot="1">
      <c r="A50" s="759"/>
      <c r="B50" s="760"/>
      <c r="C50" s="761"/>
      <c r="D50" s="762"/>
      <c r="E50" s="757" t="s">
        <v>1720</v>
      </c>
      <c r="F50" s="758">
        <f ca="1">F8</f>
        <v>0</v>
      </c>
      <c r="G50" s="1951"/>
      <c r="H50" s="1949"/>
      <c r="I50" s="2767" t="s">
        <v>2316</v>
      </c>
      <c r="J50" s="2774">
        <f>SUMPRODUCT((I63:I65=J47)*(J62:L62=J48)*(J63:L65))</f>
        <v>0</v>
      </c>
      <c r="K50" s="2778" t="s">
        <v>2322</v>
      </c>
      <c r="L50" s="2213"/>
      <c r="M50" s="3231"/>
      <c r="O50" s="2230" t="s">
        <v>2352</v>
      </c>
      <c r="P50" s="2228" t="s">
        <v>2376</v>
      </c>
      <c r="Q50" s="2229">
        <f ca="1">C29</f>
        <v>0</v>
      </c>
      <c r="R50" s="2228" t="s">
        <v>2349</v>
      </c>
    </row>
    <row r="51" spans="1:18" s="1916" customFormat="1" ht="18" customHeight="1" thickBot="1">
      <c r="A51" s="759"/>
      <c r="B51" s="760"/>
      <c r="C51" s="761"/>
      <c r="D51" s="762"/>
      <c r="E51" s="757" t="s">
        <v>623</v>
      </c>
      <c r="F51" s="2200"/>
      <c r="H51" s="1949"/>
      <c r="I51" s="2771" t="s">
        <v>2317</v>
      </c>
      <c r="J51" s="2775">
        <f>IF(J49="",J50,J49+J50-YEAR('数据-取费表'!B2))</f>
        <v>0</v>
      </c>
      <c r="K51" s="2767" t="s">
        <v>2323</v>
      </c>
      <c r="L51" s="2781">
        <f ca="1">ROUND(-PV(INDIRECT("'数据-取费表'!h"&amp;$G$1),J51,(C39-C13*J36),0),0)</f>
        <v>0</v>
      </c>
      <c r="M51" s="3231"/>
      <c r="O51" s="2230" t="s">
        <v>2353</v>
      </c>
      <c r="P51" s="2228" t="s">
        <v>2354</v>
      </c>
      <c r="Q51" s="2231" t="e">
        <f ca="1">J58</f>
        <v>#DIV/0!</v>
      </c>
      <c r="R51" s="2232"/>
    </row>
    <row r="52" spans="1:18" s="1916" customFormat="1" ht="18" customHeight="1" thickBot="1">
      <c r="A52" s="754" t="s">
        <v>2497</v>
      </c>
      <c r="B52" s="2319" t="s">
        <v>2420</v>
      </c>
      <c r="C52" s="772">
        <f ca="1">ROUND(IF(F52="押一",C48/12*F11,IF(F52="押二",C48/12*2*F11,IF(F52="押三",C48/12*3*F11,C53*F11))),0)</f>
        <v>0</v>
      </c>
      <c r="D52" s="2326" t="s">
        <v>2915</v>
      </c>
      <c r="E52" s="2323" t="s">
        <v>2425</v>
      </c>
      <c r="F52" s="2436"/>
      <c r="I52" s="2772" t="s">
        <v>2390</v>
      </c>
      <c r="J52" s="2214"/>
      <c r="K52" s="2772" t="s">
        <v>2389</v>
      </c>
      <c r="L52" s="2214"/>
      <c r="M52" s="3231"/>
      <c r="O52" s="2230" t="s">
        <v>2355</v>
      </c>
      <c r="P52" s="2228" t="s">
        <v>2356</v>
      </c>
      <c r="Q52" s="2231">
        <f>J52</f>
        <v>0</v>
      </c>
      <c r="R52" s="2232"/>
    </row>
    <row r="53" spans="1:18" s="1916" customFormat="1" ht="39.75" customHeight="1" thickBot="1">
      <c r="A53" s="759"/>
      <c r="B53" s="2320" t="s">
        <v>2534</v>
      </c>
      <c r="C53" s="2324"/>
      <c r="D53" s="2326"/>
      <c r="E53" s="2323"/>
      <c r="F53" s="773"/>
      <c r="I53" s="2773" t="s">
        <v>2918</v>
      </c>
      <c r="J53" s="2826">
        <f ca="1">IF(M47="住宅",IF(D1="——",MAX(J51,L48),MAX(J51,L48-'数据-取费表'!B20)),IF(D1="——",MIN(J51,L48),MIN(J51,L48-'数据-取费表'!B20)))</f>
        <v>0</v>
      </c>
      <c r="K53" s="3603" t="s">
        <v>2907</v>
      </c>
      <c r="L53" s="3604"/>
      <c r="M53" s="3231"/>
      <c r="O53" s="2230" t="s">
        <v>2357</v>
      </c>
      <c r="P53" s="2228" t="s">
        <v>2358</v>
      </c>
      <c r="Q53" s="2229">
        <f ca="1">J53</f>
        <v>0</v>
      </c>
      <c r="R53" s="2228" t="s">
        <v>2359</v>
      </c>
    </row>
    <row r="54" spans="1:18" s="1916" customFormat="1" ht="18" customHeight="1" thickBot="1">
      <c r="A54" s="2362" t="s">
        <v>2428</v>
      </c>
      <c r="B54" s="2363" t="s">
        <v>2421</v>
      </c>
      <c r="C54" s="2364"/>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2"/>
      <c r="M54" s="3231"/>
      <c r="O54" s="2227" t="s">
        <v>2360</v>
      </c>
      <c r="P54" s="2228" t="s">
        <v>2377</v>
      </c>
      <c r="Q54" s="2229" t="e">
        <f ca="1">Q48+Q49</f>
        <v>#DIV/0!</v>
      </c>
      <c r="R54" s="2232" t="s">
        <v>2361</v>
      </c>
    </row>
    <row r="55" spans="1:18" s="1916" customFormat="1" ht="18" customHeight="1" thickTop="1" thickBot="1">
      <c r="A55" s="770">
        <v>2</v>
      </c>
      <c r="B55" s="771" t="s">
        <v>627</v>
      </c>
      <c r="C55" s="772">
        <f ca="1">C13</f>
        <v>0</v>
      </c>
      <c r="D55" s="768"/>
      <c r="E55" s="768"/>
      <c r="F55" s="773"/>
      <c r="I55" s="2784" t="s">
        <v>2324</v>
      </c>
      <c r="J55" s="2756" t="e">
        <f ca="1">ROUND(IF(J47="钢混",J57/J50,1-(1-2%)*(J50-J57)/J50),3)</f>
        <v>#DIV/0!</v>
      </c>
      <c r="K55" s="2785" t="s">
        <v>2325</v>
      </c>
      <c r="L55" s="2215"/>
      <c r="M55" s="3231"/>
      <c r="O55" s="2233" t="s">
        <v>2380</v>
      </c>
      <c r="P55" s="1502"/>
      <c r="Q55" s="1510"/>
      <c r="R55" s="1502"/>
    </row>
    <row r="56" spans="1:18" s="1916" customFormat="1" ht="42.75" customHeight="1" thickBot="1">
      <c r="A56" s="1553"/>
      <c r="B56" s="2085" t="s">
        <v>2274</v>
      </c>
      <c r="C56" s="53">
        <f ca="1">C29</f>
        <v>0</v>
      </c>
      <c r="D56" s="2452"/>
      <c r="E56" s="757"/>
      <c r="F56" s="782"/>
      <c r="I56" s="2786" t="s">
        <v>2326</v>
      </c>
      <c r="J56" s="2796"/>
      <c r="K56" s="2767" t="s">
        <v>2331</v>
      </c>
      <c r="L56" s="1797">
        <f ca="1">IF(L48&lt;J51,"——",L48-J51)</f>
        <v>0</v>
      </c>
      <c r="M56" s="3231"/>
      <c r="O56" s="2224" t="s">
        <v>2344</v>
      </c>
      <c r="P56" s="2225" t="s">
        <v>2345</v>
      </c>
      <c r="Q56" s="2226" t="s">
        <v>2346</v>
      </c>
      <c r="R56" s="2225" t="s">
        <v>2347</v>
      </c>
    </row>
    <row r="57" spans="1:18" s="1916" customFormat="1" ht="28.5" customHeight="1" thickBot="1">
      <c r="A57" s="770" t="s">
        <v>1728</v>
      </c>
      <c r="B57" s="771" t="s">
        <v>634</v>
      </c>
      <c r="C57" s="772">
        <f ca="1">ROUND(C58+C63+C64+C65,0)</f>
        <v>0</v>
      </c>
      <c r="D57" s="26" t="s">
        <v>1730</v>
      </c>
      <c r="E57" s="2453"/>
      <c r="F57" s="56"/>
      <c r="I57" s="2787" t="s">
        <v>2327</v>
      </c>
      <c r="J57" s="2788">
        <f ca="1">IF(OR(M47="住宅",J51&lt;L48,J56="是"),"——",J51-L48)</f>
        <v>0</v>
      </c>
      <c r="K57" s="2767" t="s">
        <v>2332</v>
      </c>
      <c r="L57" s="1797">
        <f ca="1">IF(L48&lt;J51,"——",IF(L55="比较法",L49,IF(L55="基准地价",L50,L51)))</f>
        <v>0</v>
      </c>
      <c r="M57" s="3231"/>
      <c r="O57" s="2227" t="s">
        <v>2348</v>
      </c>
      <c r="P57" s="2228" t="s">
        <v>2378</v>
      </c>
      <c r="Q57" s="2229" t="e">
        <f ca="1">C40+J29</f>
        <v>#DIV/0!</v>
      </c>
      <c r="R57" s="2228" t="s">
        <v>2349</v>
      </c>
    </row>
    <row r="58" spans="1:18" s="1916" customFormat="1" ht="28.5" customHeight="1" thickBot="1">
      <c r="A58" s="1552" t="s">
        <v>1804</v>
      </c>
      <c r="B58" s="757" t="s">
        <v>639</v>
      </c>
      <c r="C58" s="2987">
        <f ca="1">ROUND(IF(AND(项目基本情况!B11="自然人",项目基本情况!B10="北京市"),C48*F58/(1+'数据-取费表'!C42),C59+C60+C61),0)</f>
        <v>0</v>
      </c>
      <c r="D58" s="2451" t="s">
        <v>640</v>
      </c>
      <c r="E58" s="2452" t="s">
        <v>673</v>
      </c>
      <c r="F58" s="2986">
        <f ca="1">IF(项目基本情况!B11="企业","——",IF('数据-取费表'!B10="住宅",IF(F48*F49*F50/12/(1+'数据-取费表'!F30)&gt;100000,4%,2.5%),IF(F48*F49*F50/12/(1+'数据-取费表'!F30)&gt;100000,12%,7%)))</f>
        <v>7.0000000000000007E-2</v>
      </c>
      <c r="I58" s="2787" t="s">
        <v>2328</v>
      </c>
      <c r="J58" s="2757" t="e">
        <f ca="1">IF(J55&lt;0.4,0.4,J55)</f>
        <v>#DIV/0!</v>
      </c>
      <c r="K58" s="2767" t="s">
        <v>2333</v>
      </c>
      <c r="L58" s="1797" t="e">
        <f ca="1">ROUND(POWER(1+L52,L47-L48)*(POWER(1+L52,L48)-1)/(POWER(1+L52,L47)-1),4)</f>
        <v>#DIV/0!</v>
      </c>
      <c r="M58" s="3231"/>
      <c r="O58" s="2227" t="s">
        <v>2350</v>
      </c>
      <c r="P58" s="2228" t="s">
        <v>2381</v>
      </c>
      <c r="Q58" s="2229" t="e">
        <f ca="1">L60</f>
        <v>#DIV/0!</v>
      </c>
      <c r="R58" s="2232" t="s">
        <v>2383</v>
      </c>
    </row>
    <row r="59" spans="1:18" s="1916" customFormat="1" ht="28.5" customHeight="1" thickBot="1">
      <c r="A59" s="1551" t="s">
        <v>1811</v>
      </c>
      <c r="B59" s="757" t="s">
        <v>643</v>
      </c>
      <c r="C59" s="53">
        <f ca="1">ROUND(C47*F59/1.05,1)</f>
        <v>0</v>
      </c>
      <c r="D59" s="2452" t="s">
        <v>1736</v>
      </c>
      <c r="E59" s="757" t="s">
        <v>1727</v>
      </c>
      <c r="F59" s="782">
        <f t="shared" ref="F59:F65" si="0">F32</f>
        <v>5.5000000000000007E-2</v>
      </c>
      <c r="I59" s="2787" t="s">
        <v>2329</v>
      </c>
      <c r="J59" s="2788" t="e">
        <f ca="1">IF(OR(M47="住宅",J51&lt;L48,J56="是"),"——",ROUND(C29*J58,0))</f>
        <v>#DIV/0!</v>
      </c>
      <c r="K59" s="2767"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231"/>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52" t="str">
        <f>D33</f>
        <v>按房产原值计税</v>
      </c>
      <c r="E60" s="757" t="s">
        <v>1727</v>
      </c>
      <c r="F60" s="782">
        <f t="shared" si="0"/>
        <v>1.2E-2</v>
      </c>
      <c r="I60" s="2789" t="s">
        <v>2330</v>
      </c>
      <c r="J60" s="2790" t="e">
        <f ca="1">IF(OR(M47="住宅",J51&lt;L48,J56="是"),"0",ROUND(J59/(1+J52)^J53,0))</f>
        <v>#DIV/0!</v>
      </c>
      <c r="K60" s="2791" t="s">
        <v>2335</v>
      </c>
      <c r="L60" s="2790" t="e">
        <f ca="1">IF(OR(M47="住宅",L48&lt;J51),0,ROUND(L57*(L58/L59-1),0))</f>
        <v>#DIV/0!</v>
      </c>
      <c r="M60" s="3231"/>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6</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0</v>
      </c>
      <c r="I62" s="2792" t="s">
        <v>2336</v>
      </c>
      <c r="J62" s="2793" t="s">
        <v>2337</v>
      </c>
      <c r="K62" s="2793" t="s">
        <v>2338</v>
      </c>
      <c r="L62" s="2793" t="s">
        <v>2319</v>
      </c>
      <c r="M62" s="2794" t="s">
        <v>2886</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0</v>
      </c>
      <c r="D63" s="2452" t="s">
        <v>1783</v>
      </c>
      <c r="E63" s="757" t="s">
        <v>1727</v>
      </c>
      <c r="F63" s="789">
        <f t="shared" ca="1" si="0"/>
        <v>0</v>
      </c>
      <c r="I63" s="2792" t="s">
        <v>2339</v>
      </c>
      <c r="J63" s="2793">
        <v>70</v>
      </c>
      <c r="K63" s="2793">
        <v>50</v>
      </c>
      <c r="L63" s="2793">
        <v>80</v>
      </c>
      <c r="M63" s="2795">
        <v>0.02</v>
      </c>
      <c r="O63" s="2227" t="s">
        <v>2360</v>
      </c>
      <c r="P63" s="2228" t="s">
        <v>2377</v>
      </c>
      <c r="Q63" s="2229" t="e">
        <f ca="1">Q57+Q58</f>
        <v>#DIV/0!</v>
      </c>
      <c r="R63" s="2232" t="s">
        <v>2361</v>
      </c>
    </row>
    <row r="64" spans="1:18" s="1916" customFormat="1" ht="16.5" thickBot="1">
      <c r="A64" s="1552" t="s">
        <v>1866</v>
      </c>
      <c r="B64" s="757" t="s">
        <v>662</v>
      </c>
      <c r="C64" s="53">
        <f ca="1">ROUND(C55*F64,1)</f>
        <v>0</v>
      </c>
      <c r="D64" s="2452" t="s">
        <v>663</v>
      </c>
      <c r="E64" s="757" t="s">
        <v>1727</v>
      </c>
      <c r="F64" s="790">
        <f t="shared" ca="1" si="0"/>
        <v>0</v>
      </c>
      <c r="I64" s="2792" t="s">
        <v>2340</v>
      </c>
      <c r="J64" s="2793">
        <v>50</v>
      </c>
      <c r="K64" s="2793">
        <v>35</v>
      </c>
      <c r="L64" s="2793">
        <v>60</v>
      </c>
      <c r="M64" s="818">
        <v>0</v>
      </c>
      <c r="O64" s="2233" t="s">
        <v>2384</v>
      </c>
      <c r="P64" s="1502"/>
      <c r="Q64" s="1510"/>
      <c r="R64" s="1502"/>
    </row>
    <row r="65" spans="1:18" s="1916" customFormat="1" ht="15.75" thickBot="1">
      <c r="A65" s="1552" t="s">
        <v>1867</v>
      </c>
      <c r="B65" s="757" t="s">
        <v>649</v>
      </c>
      <c r="C65" s="53">
        <f ca="1">ROUND(C47*F65,1)</f>
        <v>0</v>
      </c>
      <c r="D65" s="2452" t="s">
        <v>666</v>
      </c>
      <c r="E65" s="757" t="s">
        <v>1727</v>
      </c>
      <c r="F65" s="767">
        <f t="shared" ca="1" si="0"/>
        <v>0</v>
      </c>
      <c r="I65" s="2792" t="s">
        <v>2341</v>
      </c>
      <c r="J65" s="2793">
        <v>40</v>
      </c>
      <c r="K65" s="2793">
        <v>30</v>
      </c>
      <c r="L65" s="2793">
        <v>50</v>
      </c>
      <c r="M65" s="2795">
        <v>0.02</v>
      </c>
      <c r="O65" s="2224" t="s">
        <v>2344</v>
      </c>
      <c r="P65" s="2225" t="s">
        <v>2345</v>
      </c>
      <c r="Q65" s="2226" t="s">
        <v>2346</v>
      </c>
      <c r="R65" s="2225" t="s">
        <v>2347</v>
      </c>
    </row>
    <row r="66" spans="1:18" s="1916" customFormat="1" ht="24.75" thickBot="1">
      <c r="A66" s="770" t="s">
        <v>1756</v>
      </c>
      <c r="B66" s="2694" t="s">
        <v>2780</v>
      </c>
      <c r="C66" s="772">
        <f ca="1">C47-C57</f>
        <v>0</v>
      </c>
      <c r="D66" s="2451" t="s">
        <v>683</v>
      </c>
      <c r="E66" s="2450"/>
      <c r="F66" s="792"/>
      <c r="K66" s="1942"/>
      <c r="O66" s="2227" t="s">
        <v>2348</v>
      </c>
      <c r="P66" s="2228" t="s">
        <v>2378</v>
      </c>
      <c r="Q66" s="2229" t="e">
        <f ca="1">C40+J29</f>
        <v>#DIV/0!</v>
      </c>
      <c r="R66" s="2228" t="s">
        <v>2349</v>
      </c>
    </row>
    <row r="67" spans="1:18" s="1916" customFormat="1" ht="20.25" thickBot="1">
      <c r="A67" s="754" t="s">
        <v>1760</v>
      </c>
      <c r="B67" s="2086" t="s">
        <v>2273</v>
      </c>
      <c r="C67" s="756" t="e">
        <f ca="1">ROUND(C66*(1-((1+F69)/(1+F67))^F68)/(F67-F69),0)</f>
        <v>#DIV/0!</v>
      </c>
      <c r="D67" s="786" t="s">
        <v>687</v>
      </c>
      <c r="E67" s="757" t="s">
        <v>688</v>
      </c>
      <c r="F67" s="767">
        <f ca="1">F40</f>
        <v>0</v>
      </c>
      <c r="K67" s="1942"/>
      <c r="O67" s="2227" t="s">
        <v>2350</v>
      </c>
      <c r="P67" s="2228" t="s">
        <v>2381</v>
      </c>
      <c r="Q67" s="2229" t="e">
        <f ca="1">L60</f>
        <v>#DIV/0!</v>
      </c>
      <c r="R67" s="2232" t="s">
        <v>2383</v>
      </c>
    </row>
    <row r="68" spans="1:18" ht="21.75" thickBot="1">
      <c r="A68" s="759"/>
      <c r="B68" s="760"/>
      <c r="C68" s="761"/>
      <c r="D68" s="793" t="s">
        <v>1788</v>
      </c>
      <c r="E68" s="757" t="s">
        <v>1764</v>
      </c>
      <c r="F68" s="794">
        <f ca="1">F41</f>
        <v>0</v>
      </c>
      <c r="O68" s="2230" t="s">
        <v>2352</v>
      </c>
      <c r="P68" s="2228" t="s">
        <v>2382</v>
      </c>
      <c r="Q68" s="2234">
        <f ca="1">L51</f>
        <v>0</v>
      </c>
      <c r="R68" s="2235" t="s">
        <v>2385</v>
      </c>
    </row>
    <row r="69" spans="1:18" ht="20.25" thickBot="1">
      <c r="A69" s="763"/>
      <c r="B69" s="764"/>
      <c r="C69" s="765"/>
      <c r="D69" s="788"/>
      <c r="E69" s="757" t="s">
        <v>693</v>
      </c>
      <c r="F69" s="2200"/>
      <c r="O69" s="2230" t="s">
        <v>2353</v>
      </c>
      <c r="P69" s="2236" t="s">
        <v>2367</v>
      </c>
      <c r="Q69" s="2229">
        <f ca="1">ROUND(Q70-Q71*Q72,0)</f>
        <v>0</v>
      </c>
      <c r="R69" s="2232"/>
    </row>
    <row r="70" spans="1:18" ht="15.75" thickBot="1">
      <c r="A70" s="795" t="s">
        <v>1767</v>
      </c>
      <c r="B70" s="796" t="s">
        <v>1790</v>
      </c>
      <c r="C70" s="797" t="e">
        <f ca="1">ROUND(C67*10000/F70,0)</f>
        <v>#DIV/0!</v>
      </c>
      <c r="D70" s="798" t="s">
        <v>1791</v>
      </c>
      <c r="E70" s="799" t="s">
        <v>1792</v>
      </c>
      <c r="F70" s="800">
        <f ca="1">F43</f>
        <v>0</v>
      </c>
      <c r="O70" s="2230" t="s">
        <v>2368</v>
      </c>
      <c r="P70" s="2236" t="s">
        <v>2369</v>
      </c>
      <c r="Q70" s="2229">
        <f ca="1">C39</f>
        <v>0</v>
      </c>
      <c r="R70" s="2228" t="s">
        <v>2349</v>
      </c>
    </row>
    <row r="71" spans="1:18" ht="15.75" thickBot="1">
      <c r="O71" s="2230" t="s">
        <v>2370</v>
      </c>
      <c r="P71" s="2236" t="s">
        <v>2371</v>
      </c>
      <c r="Q71" s="2229">
        <f ca="1">C13</f>
        <v>0</v>
      </c>
      <c r="R71" s="2228" t="s">
        <v>2349</v>
      </c>
    </row>
    <row r="72" spans="1:18" ht="15.75" thickBot="1">
      <c r="O72" s="2230" t="s">
        <v>2372</v>
      </c>
      <c r="P72" s="2236" t="s">
        <v>2373</v>
      </c>
      <c r="Q72" s="2231">
        <f ca="1">J36</f>
        <v>0</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t="e">
        <f ca="1">Q66+Q67</f>
        <v>#DIV/0!</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F9" sqref="F9:F42"/>
    </sheetView>
  </sheetViews>
  <sheetFormatPr defaultRowHeight="13.5"/>
  <cols>
    <col min="1" max="1" width="10.5" customWidth="1"/>
    <col min="2" max="2" width="12.875" customWidth="1"/>
    <col min="3" max="3" width="8.75" customWidth="1"/>
  </cols>
  <sheetData>
    <row r="1" spans="1:9" ht="14.25">
      <c r="A1" s="3605" t="s">
        <v>2432</v>
      </c>
      <c r="B1" s="3606"/>
      <c r="C1" s="3607"/>
      <c r="D1" s="3608">
        <f>SUM(I10,I15,I20,I21,I23)</f>
        <v>0</v>
      </c>
      <c r="E1" s="3608"/>
      <c r="F1" s="3608"/>
      <c r="G1" s="3608"/>
      <c r="H1" s="3608"/>
      <c r="I1" s="3609"/>
    </row>
    <row r="2" spans="1:9">
      <c r="A2" s="3610" t="s">
        <v>2433</v>
      </c>
      <c r="B2" s="3611" t="s">
        <v>2434</v>
      </c>
      <c r="C2" s="3611"/>
      <c r="D2" s="2332" t="s">
        <v>2435</v>
      </c>
      <c r="E2" s="2332" t="s">
        <v>2436</v>
      </c>
      <c r="F2" s="2332" t="s">
        <v>2437</v>
      </c>
      <c r="G2" s="2332" t="s">
        <v>2438</v>
      </c>
      <c r="H2" s="2332" t="s">
        <v>2439</v>
      </c>
      <c r="I2" s="2333" t="s">
        <v>2440</v>
      </c>
    </row>
    <row r="3" spans="1:9">
      <c r="A3" s="3610"/>
      <c r="B3" s="3611" t="s">
        <v>2441</v>
      </c>
      <c r="C3" s="3611"/>
      <c r="D3" s="2334"/>
      <c r="E3" s="2332"/>
      <c r="F3" s="2335"/>
      <c r="G3" s="2335"/>
      <c r="H3" s="2336"/>
      <c r="I3" s="2337">
        <f>ROUND(D3*E3*F3*G3*H3/10000,0)</f>
        <v>0</v>
      </c>
    </row>
    <row r="4" spans="1:9">
      <c r="A4" s="3610"/>
      <c r="B4" s="3611" t="s">
        <v>2442</v>
      </c>
      <c r="C4" s="3611"/>
      <c r="D4" s="2334"/>
      <c r="E4" s="2332"/>
      <c r="F4" s="2335"/>
      <c r="G4" s="2335"/>
      <c r="H4" s="2336"/>
      <c r="I4" s="2337">
        <f t="shared" ref="I4:I9" si="0">ROUND(D4*E4*F4*G4*H4/10000,0)</f>
        <v>0</v>
      </c>
    </row>
    <row r="5" spans="1:9">
      <c r="A5" s="3610"/>
      <c r="B5" s="3611" t="s">
        <v>2443</v>
      </c>
      <c r="C5" s="3611"/>
      <c r="D5" s="2334"/>
      <c r="E5" s="2332"/>
      <c r="F5" s="2335"/>
      <c r="G5" s="2335"/>
      <c r="H5" s="2336"/>
      <c r="I5" s="2337">
        <f t="shared" si="0"/>
        <v>0</v>
      </c>
    </row>
    <row r="6" spans="1:9">
      <c r="A6" s="3610"/>
      <c r="B6" s="3611" t="s">
        <v>2444</v>
      </c>
      <c r="C6" s="3611"/>
      <c r="D6" s="2334"/>
      <c r="E6" s="2332"/>
      <c r="F6" s="2335"/>
      <c r="G6" s="2335"/>
      <c r="H6" s="2336"/>
      <c r="I6" s="2337">
        <f t="shared" si="0"/>
        <v>0</v>
      </c>
    </row>
    <row r="7" spans="1:9">
      <c r="A7" s="3610"/>
      <c r="B7" s="3611" t="s">
        <v>2445</v>
      </c>
      <c r="C7" s="3611"/>
      <c r="D7" s="2334"/>
      <c r="E7" s="2332"/>
      <c r="F7" s="2335"/>
      <c r="G7" s="2335"/>
      <c r="H7" s="2336"/>
      <c r="I7" s="2337">
        <f t="shared" si="0"/>
        <v>0</v>
      </c>
    </row>
    <row r="8" spans="1:9">
      <c r="A8" s="3610"/>
      <c r="B8" s="3611" t="s">
        <v>2446</v>
      </c>
      <c r="C8" s="3611"/>
      <c r="D8" s="2334"/>
      <c r="E8" s="2332"/>
      <c r="F8" s="2335"/>
      <c r="G8" s="2335"/>
      <c r="H8" s="2336"/>
      <c r="I8" s="2337">
        <f t="shared" si="0"/>
        <v>0</v>
      </c>
    </row>
    <row r="9" spans="1:9">
      <c r="A9" s="3610"/>
      <c r="B9" s="3611" t="s">
        <v>2447</v>
      </c>
      <c r="C9" s="3611"/>
      <c r="D9" s="2334"/>
      <c r="E9" s="2332"/>
      <c r="F9" s="2335"/>
      <c r="G9" s="2335"/>
      <c r="H9" s="2336"/>
      <c r="I9" s="2337">
        <f t="shared" si="0"/>
        <v>0</v>
      </c>
    </row>
    <row r="10" spans="1:9">
      <c r="A10" s="3610"/>
      <c r="B10" s="3612" t="s">
        <v>2448</v>
      </c>
      <c r="C10" s="3612"/>
      <c r="D10" s="2338">
        <v>527</v>
      </c>
      <c r="E10" s="2338" t="e">
        <f>ROUND(D1*10000/D10/H9,0)</f>
        <v>#DIV/0!</v>
      </c>
      <c r="F10" s="2339"/>
      <c r="G10" s="2339"/>
      <c r="H10" s="2340"/>
      <c r="I10" s="2341">
        <f>SUM(I3:I9)</f>
        <v>0</v>
      </c>
    </row>
    <row r="11" spans="1:9" ht="14.25">
      <c r="A11" s="3610" t="s">
        <v>2449</v>
      </c>
      <c r="B11" s="3611" t="s">
        <v>2450</v>
      </c>
      <c r="C11" s="3611"/>
      <c r="D11" s="2334" t="s">
        <v>2451</v>
      </c>
      <c r="E11" s="2334" t="s">
        <v>2452</v>
      </c>
      <c r="F11" s="2335" t="s">
        <v>2453</v>
      </c>
      <c r="G11" s="2335" t="s">
        <v>2454</v>
      </c>
      <c r="H11" s="2342" t="s">
        <v>2455</v>
      </c>
      <c r="I11" s="2333" t="s">
        <v>2456</v>
      </c>
    </row>
    <row r="12" spans="1:9">
      <c r="A12" s="3610"/>
      <c r="B12" s="3611" t="s">
        <v>2457</v>
      </c>
      <c r="C12" s="3611"/>
      <c r="D12" s="2334"/>
      <c r="E12" s="2334"/>
      <c r="F12" s="2335"/>
      <c r="G12" s="2336"/>
      <c r="H12" s="2343"/>
      <c r="I12" s="2333">
        <f>ROUND(D12*E12*F12*G12/10000,0)</f>
        <v>0</v>
      </c>
    </row>
    <row r="13" spans="1:9">
      <c r="A13" s="3610"/>
      <c r="B13" s="3611" t="s">
        <v>2458</v>
      </c>
      <c r="C13" s="3611"/>
      <c r="D13" s="2334"/>
      <c r="E13" s="2334"/>
      <c r="F13" s="2335"/>
      <c r="G13" s="2336"/>
      <c r="H13" s="2343"/>
      <c r="I13" s="2333">
        <f>ROUND(D13*E13*F13*G13/10000,0)</f>
        <v>0</v>
      </c>
    </row>
    <row r="14" spans="1:9">
      <c r="A14" s="3610"/>
      <c r="B14" s="3611" t="s">
        <v>2459</v>
      </c>
      <c r="C14" s="3611"/>
      <c r="D14" s="2334"/>
      <c r="E14" s="2334"/>
      <c r="F14" s="2335"/>
      <c r="G14" s="2336"/>
      <c r="H14" s="2343"/>
      <c r="I14" s="2333">
        <f>ROUND(D14*E14*F14*G14/10000,0)</f>
        <v>0</v>
      </c>
    </row>
    <row r="15" spans="1:9">
      <c r="A15" s="3610"/>
      <c r="B15" s="3612" t="s">
        <v>2448</v>
      </c>
      <c r="C15" s="3612"/>
      <c r="D15" s="2338"/>
      <c r="E15" s="2338">
        <f>SUM(E12:E14)</f>
        <v>0</v>
      </c>
      <c r="F15" s="2339"/>
      <c r="G15" s="2336"/>
      <c r="H15" s="2343"/>
      <c r="I15" s="2344">
        <f>SUM(I12:I14)</f>
        <v>0</v>
      </c>
    </row>
    <row r="16" spans="1:9" ht="24">
      <c r="A16" s="3610" t="s">
        <v>2460</v>
      </c>
      <c r="B16" s="3611" t="s">
        <v>2461</v>
      </c>
      <c r="C16" s="3611"/>
      <c r="D16" s="2334" t="s">
        <v>2462</v>
      </c>
      <c r="E16" s="2345" t="s">
        <v>2463</v>
      </c>
      <c r="F16" s="2335" t="s">
        <v>2464</v>
      </c>
      <c r="G16" s="2336" t="s">
        <v>2454</v>
      </c>
      <c r="H16" s="2342" t="s">
        <v>2455</v>
      </c>
      <c r="I16" s="2333" t="s">
        <v>2456</v>
      </c>
    </row>
    <row r="17" spans="1:9" ht="14.25">
      <c r="A17" s="3610"/>
      <c r="B17" s="3611" t="s">
        <v>2465</v>
      </c>
      <c r="C17" s="3611"/>
      <c r="D17" s="2334"/>
      <c r="E17" s="2334"/>
      <c r="F17" s="2335"/>
      <c r="G17" s="2336"/>
      <c r="H17" s="2346"/>
      <c r="I17" s="2347">
        <f>ROUND(D17*E17*F17*G17/10000,0)</f>
        <v>0</v>
      </c>
    </row>
    <row r="18" spans="1:9" ht="14.25">
      <c r="A18" s="3610"/>
      <c r="B18" s="3611" t="s">
        <v>2466</v>
      </c>
      <c r="C18" s="3611"/>
      <c r="D18" s="2334"/>
      <c r="E18" s="2334"/>
      <c r="F18" s="2335"/>
      <c r="G18" s="2336"/>
      <c r="H18" s="2346"/>
      <c r="I18" s="2347">
        <f>ROUND(D18*E18*F18*G18/10000,0)</f>
        <v>0</v>
      </c>
    </row>
    <row r="19" spans="1:9" ht="14.25">
      <c r="A19" s="3610"/>
      <c r="B19" s="3611" t="s">
        <v>2467</v>
      </c>
      <c r="C19" s="3611"/>
      <c r="D19" s="2334"/>
      <c r="E19" s="2334"/>
      <c r="F19" s="2335"/>
      <c r="G19" s="2336"/>
      <c r="H19" s="2346"/>
      <c r="I19" s="2347">
        <f>ROUND(D19*E19*F19*G19/10000,0)</f>
        <v>0</v>
      </c>
    </row>
    <row r="20" spans="1:9">
      <c r="A20" s="3610"/>
      <c r="B20" s="3612" t="s">
        <v>2448</v>
      </c>
      <c r="C20" s="3612"/>
      <c r="D20" s="2338">
        <f>SUM(D17:D19)</f>
        <v>0</v>
      </c>
      <c r="E20" s="2338"/>
      <c r="F20" s="2339"/>
      <c r="G20" s="2336"/>
      <c r="H20" s="2343"/>
      <c r="I20" s="2344">
        <f>SUM(I17:I19)</f>
        <v>0</v>
      </c>
    </row>
    <row r="21" spans="1:9">
      <c r="A21" s="3610" t="s">
        <v>2468</v>
      </c>
      <c r="B21" s="3614"/>
      <c r="C21" s="3614"/>
      <c r="D21" s="3614"/>
      <c r="E21" s="3614"/>
      <c r="F21" s="3614"/>
      <c r="G21" s="3614"/>
      <c r="H21" s="2348">
        <v>0.1</v>
      </c>
      <c r="I21" s="2341">
        <f>ROUND(I10*H21,0)</f>
        <v>0</v>
      </c>
    </row>
    <row r="22" spans="1:9" ht="14.25">
      <c r="A22" s="3615" t="s">
        <v>2469</v>
      </c>
      <c r="B22" s="3616"/>
      <c r="C22" s="3617"/>
      <c r="D22" s="2349" t="s">
        <v>2470</v>
      </c>
      <c r="E22" s="2349" t="s">
        <v>2471</v>
      </c>
      <c r="F22" s="2350" t="s">
        <v>2472</v>
      </c>
      <c r="G22" s="2350" t="s">
        <v>2473</v>
      </c>
      <c r="H22" s="2342" t="s">
        <v>2474</v>
      </c>
      <c r="I22" s="2333" t="s">
        <v>2475</v>
      </c>
    </row>
    <row r="23" spans="1:9" ht="14.25" thickBot="1">
      <c r="A23" s="3618"/>
      <c r="B23" s="3619"/>
      <c r="C23" s="3620"/>
      <c r="D23" s="2351"/>
      <c r="E23" s="2351"/>
      <c r="F23" s="2351"/>
      <c r="G23" s="2352"/>
      <c r="H23" s="2353"/>
      <c r="I23" s="2354">
        <f>ROUND(E23*D23*F23*(1-G23)/10000,0)</f>
        <v>0</v>
      </c>
    </row>
    <row r="26" spans="1:9">
      <c r="A26" s="2355" t="s">
        <v>2476</v>
      </c>
      <c r="B26" s="2355"/>
      <c r="C26" s="2355"/>
      <c r="D26" s="2355"/>
      <c r="E26" s="3621">
        <f>C27-C30-C31-C32</f>
        <v>0</v>
      </c>
      <c r="F26" s="3621"/>
      <c r="G26" s="3621"/>
      <c r="H26" s="2724" t="s">
        <v>2799</v>
      </c>
    </row>
    <row r="27" spans="1:9">
      <c r="A27" s="2356">
        <v>1</v>
      </c>
      <c r="B27" s="2357" t="s">
        <v>2477</v>
      </c>
      <c r="C27" s="2357"/>
      <c r="D27" s="2357"/>
      <c r="E27" s="3622"/>
      <c r="F27" s="3622"/>
      <c r="G27" s="3622"/>
    </row>
    <row r="28" spans="1:9">
      <c r="A28" s="2358" t="s">
        <v>2478</v>
      </c>
      <c r="B28" s="2357" t="s">
        <v>2479</v>
      </c>
      <c r="C28" s="2357"/>
      <c r="D28" s="2357"/>
      <c r="E28" s="3622"/>
      <c r="F28" s="3622"/>
      <c r="G28" s="3622"/>
    </row>
    <row r="29" spans="1:9">
      <c r="A29" s="2358" t="s">
        <v>2480</v>
      </c>
      <c r="B29" s="2357" t="s">
        <v>2421</v>
      </c>
      <c r="C29" s="2357"/>
      <c r="D29" s="2357"/>
      <c r="E29" s="2357" t="s">
        <v>2481</v>
      </c>
      <c r="F29" s="2357"/>
      <c r="G29" s="2357"/>
    </row>
    <row r="30" spans="1:9">
      <c r="A30" s="2356">
        <v>2</v>
      </c>
      <c r="B30" s="2357" t="s">
        <v>2482</v>
      </c>
      <c r="C30" s="2357">
        <f>C27*D30</f>
        <v>0</v>
      </c>
      <c r="D30" s="2359">
        <v>0.2</v>
      </c>
      <c r="E30" s="2357" t="s">
        <v>2483</v>
      </c>
      <c r="F30" s="2357"/>
      <c r="G30" s="2357"/>
    </row>
    <row r="31" spans="1:9">
      <c r="A31" s="2356">
        <v>3</v>
      </c>
      <c r="B31" s="2357" t="s">
        <v>2484</v>
      </c>
      <c r="C31" s="2357">
        <f>C25*D31</f>
        <v>0</v>
      </c>
      <c r="D31" s="2359">
        <v>0.15</v>
      </c>
      <c r="E31" s="2357" t="s">
        <v>2485</v>
      </c>
      <c r="F31" s="2357"/>
      <c r="G31" s="2357"/>
    </row>
    <row r="32" spans="1:9">
      <c r="A32" s="2356">
        <v>4</v>
      </c>
      <c r="B32" s="2357" t="s">
        <v>2486</v>
      </c>
      <c r="C32" s="2357">
        <f>C27*D32</f>
        <v>0</v>
      </c>
      <c r="D32" s="2359">
        <v>0.05</v>
      </c>
      <c r="E32" s="3613"/>
      <c r="F32" s="3613"/>
      <c r="G32" s="3613"/>
    </row>
    <row r="33" spans="1:7" hidden="1">
      <c r="A33" s="3623" t="s">
        <v>2487</v>
      </c>
      <c r="B33" s="3624"/>
      <c r="C33" s="3624"/>
      <c r="D33" s="3625"/>
      <c r="E33" s="3621"/>
      <c r="F33" s="3621"/>
      <c r="G33" s="3621"/>
    </row>
    <row r="34" spans="1:7" hidden="1">
      <c r="A34" s="2360">
        <v>1</v>
      </c>
      <c r="B34" s="2357" t="s">
        <v>2488</v>
      </c>
      <c r="C34" s="2357"/>
      <c r="D34" s="2357"/>
      <c r="E34" s="3622"/>
      <c r="F34" s="3622"/>
      <c r="G34" s="3622"/>
    </row>
    <row r="35" spans="1:7" hidden="1">
      <c r="A35" s="2360">
        <v>2</v>
      </c>
      <c r="B35" s="2357" t="s">
        <v>2489</v>
      </c>
      <c r="C35" s="2357"/>
      <c r="D35" s="2357"/>
      <c r="E35" s="3622"/>
      <c r="F35" s="3622"/>
      <c r="G35" s="3622"/>
    </row>
    <row r="36" spans="1:7" hidden="1">
      <c r="A36" s="2360">
        <v>3</v>
      </c>
      <c r="B36" s="2357" t="s">
        <v>2490</v>
      </c>
      <c r="C36" s="2357"/>
      <c r="D36" s="2357"/>
      <c r="E36" s="3622"/>
      <c r="F36" s="3622"/>
      <c r="G36" s="3622"/>
    </row>
    <row r="37" spans="1:7" hidden="1">
      <c r="A37" s="2360">
        <v>4</v>
      </c>
      <c r="B37" s="2357" t="s">
        <v>2491</v>
      </c>
      <c r="C37" s="2357"/>
      <c r="D37" s="2357"/>
      <c r="E37" s="3622"/>
      <c r="F37" s="3622"/>
      <c r="G37" s="3622"/>
    </row>
    <row r="38" spans="1:7" hidden="1">
      <c r="A38" s="3623" t="s">
        <v>2492</v>
      </c>
      <c r="B38" s="3624"/>
      <c r="C38" s="3624"/>
      <c r="D38" s="3625"/>
      <c r="E38" s="3621"/>
      <c r="F38" s="3621"/>
      <c r="G38" s="36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9" sqref="F9:F42"/>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36"/>
      <c r="D2" s="3236"/>
      <c r="E2" s="3236"/>
      <c r="F2" s="3236"/>
      <c r="G2" s="3236"/>
    </row>
    <row r="3" spans="1:25" s="1916" customFormat="1" ht="18" customHeight="1">
      <c r="A3" s="1306" t="s">
        <v>1665</v>
      </c>
      <c r="B3" s="419">
        <f ca="1">ROUND(B2*10000/'数据-汇总表'!E3,0)</f>
        <v>0</v>
      </c>
      <c r="C3" s="3236"/>
      <c r="D3" s="3236"/>
      <c r="E3" s="3236"/>
      <c r="F3" s="3236"/>
      <c r="G3" s="3236"/>
    </row>
    <row r="4" spans="1:25" s="1916" customFormat="1" ht="18" customHeight="1">
      <c r="A4" s="420" t="s">
        <v>462</v>
      </c>
      <c r="B4" s="421">
        <f ca="1">ROUND(B2*10000/'数据-汇总表'!D3,0)</f>
        <v>0</v>
      </c>
      <c r="C4" s="3189"/>
      <c r="D4" s="3236"/>
      <c r="E4" s="3236"/>
      <c r="F4" s="3236"/>
      <c r="G4" s="3236"/>
    </row>
    <row r="5" spans="1:25" s="1916" customFormat="1" ht="18" customHeight="1" thickBot="1">
      <c r="A5" s="423"/>
      <c r="B5" s="424">
        <f ca="1">ROUND(B2/('数据-汇总表'!D3/666.67),0)</f>
        <v>0</v>
      </c>
      <c r="C5" s="425" t="s">
        <v>463</v>
      </c>
      <c r="D5" s="3236"/>
      <c r="E5" s="3236"/>
      <c r="F5" s="3236"/>
      <c r="G5" s="3236"/>
    </row>
    <row r="6" spans="1:25" s="2038" customFormat="1" ht="13.5" customHeight="1">
      <c r="A6" s="718"/>
      <c r="B6" s="719" t="s">
        <v>587</v>
      </c>
      <c r="C6" s="720" t="s">
        <v>588</v>
      </c>
      <c r="D6" s="720" t="s">
        <v>589</v>
      </c>
      <c r="E6" s="721" t="s">
        <v>590</v>
      </c>
      <c r="F6" s="721" t="s">
        <v>591</v>
      </c>
      <c r="G6" s="3235" t="s">
        <v>2972</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39">
        <f t="shared" ref="C8:C9" si="0">ROUND(D8*E8/10000,0)</f>
        <v>0</v>
      </c>
      <c r="D8" s="3239">
        <v>0</v>
      </c>
      <c r="E8" s="3240">
        <v>0</v>
      </c>
      <c r="F8" s="724"/>
      <c r="G8" s="725"/>
    </row>
    <row r="9" spans="1:25" s="2038" customFormat="1" ht="13.5" customHeight="1">
      <c r="A9" s="2297" t="s">
        <v>2404</v>
      </c>
      <c r="B9" s="2300" t="s">
        <v>2406</v>
      </c>
      <c r="C9" s="3239">
        <f t="shared" si="0"/>
        <v>0</v>
      </c>
      <c r="D9" s="3239">
        <v>0</v>
      </c>
      <c r="E9" s="3240">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884</v>
      </c>
      <c r="D12" s="3239">
        <f>'数据-汇总表'!E5</f>
        <v>98168.48</v>
      </c>
      <c r="E12" s="3239">
        <f>'数据-取费表'!B27</f>
        <v>90</v>
      </c>
      <c r="F12" s="729"/>
      <c r="G12" s="732"/>
    </row>
    <row r="13" spans="1:25" s="2038" customFormat="1" ht="13.5" customHeight="1">
      <c r="A13" s="2303" t="s">
        <v>2410</v>
      </c>
      <c r="B13" s="730" t="s">
        <v>595</v>
      </c>
      <c r="C13" s="731">
        <f>ROUND(D13*E13/10000,0)</f>
        <v>57</v>
      </c>
      <c r="D13" s="3239">
        <f>'数据-汇总表'!E6</f>
        <v>6285.5200000000041</v>
      </c>
      <c r="E13" s="3239">
        <f>'数据-取费表'!B28</f>
        <v>90</v>
      </c>
      <c r="F13" s="729"/>
      <c r="G13" s="732"/>
    </row>
    <row r="14" spans="1:25" s="2038" customFormat="1" ht="13.5" customHeight="1">
      <c r="A14" s="2297" t="s">
        <v>2404</v>
      </c>
      <c r="B14" s="2302" t="s">
        <v>2407</v>
      </c>
      <c r="C14" s="3241">
        <f t="shared" ref="C14:C15" si="1">ROUND(D14*E14/10000,0)</f>
        <v>0</v>
      </c>
      <c r="D14" s="3239">
        <v>0</v>
      </c>
      <c r="E14" s="3240">
        <v>0</v>
      </c>
      <c r="F14" s="2301"/>
      <c r="G14" s="2304" t="s">
        <v>2412</v>
      </c>
    </row>
    <row r="15" spans="1:25" s="2038" customFormat="1" ht="13.5" customHeight="1">
      <c r="A15" s="2297" t="s">
        <v>2409</v>
      </c>
      <c r="B15" s="2302" t="s">
        <v>2408</v>
      </c>
      <c r="C15" s="3241">
        <f t="shared" si="1"/>
        <v>0</v>
      </c>
      <c r="D15" s="3239">
        <v>0</v>
      </c>
      <c r="E15" s="3240">
        <v>0</v>
      </c>
      <c r="F15" s="2301"/>
      <c r="G15" s="2304" t="s">
        <v>2413</v>
      </c>
    </row>
    <row r="16" spans="1:25" s="2039" customFormat="1" ht="48">
      <c r="A16" s="2297">
        <v>3</v>
      </c>
      <c r="B16" s="722" t="s">
        <v>598</v>
      </c>
      <c r="C16" s="3241">
        <f t="shared" ref="C16" si="2">ROUND(D16*E16/10000,0)</f>
        <v>0</v>
      </c>
      <c r="D16" s="3239">
        <v>0</v>
      </c>
      <c r="E16" s="3240">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96">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0.94699999999999995</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38" customFormat="1">
      <c r="A24" s="3237"/>
      <c r="D24" s="1858"/>
      <c r="E24" s="1858"/>
    </row>
    <row r="25" spans="1:25" s="3238" customFormat="1">
      <c r="A25" s="3237"/>
      <c r="D25" s="1858"/>
      <c r="E25" s="1858"/>
    </row>
    <row r="26" spans="1:25" s="3238" customFormat="1">
      <c r="A26" s="3237"/>
      <c r="D26" s="1858"/>
      <c r="E26" s="1858"/>
    </row>
    <row r="27" spans="1:25" s="3238" customFormat="1">
      <c r="A27" s="3237"/>
      <c r="D27" s="1858"/>
      <c r="E27" s="1858"/>
    </row>
    <row r="28" spans="1:25" s="3238" customFormat="1">
      <c r="A28" s="3237"/>
      <c r="D28" s="1858"/>
      <c r="E28" s="1858"/>
    </row>
    <row r="29" spans="1:25" s="3238" customFormat="1">
      <c r="A29" s="3237"/>
      <c r="D29" s="1858"/>
      <c r="E29" s="1858"/>
    </row>
    <row r="30" spans="1:25" s="3238" customFormat="1">
      <c r="A30" s="3237"/>
      <c r="D30" s="1858"/>
      <c r="E30" s="1858"/>
    </row>
    <row r="31" spans="1:25" s="3238" customFormat="1">
      <c r="A31" s="3237"/>
      <c r="D31" s="1858"/>
      <c r="E31" s="1858"/>
    </row>
    <row r="32" spans="1:25" s="3238" customFormat="1">
      <c r="A32" s="3237"/>
      <c r="D32" s="1858"/>
      <c r="E32" s="1858"/>
    </row>
    <row r="33" spans="1:5" s="3238" customFormat="1">
      <c r="A33" s="3237"/>
      <c r="D33" s="1858"/>
      <c r="E33" s="1858"/>
    </row>
    <row r="34" spans="1:5" s="3238" customFormat="1">
      <c r="A34" s="3237"/>
      <c r="D34" s="1858"/>
      <c r="E34" s="1858"/>
    </row>
    <row r="35" spans="1:5" s="3238" customFormat="1">
      <c r="A35" s="3237"/>
      <c r="D35" s="1858"/>
      <c r="E35" s="1858"/>
    </row>
    <row r="36" spans="1:5" s="3238" customFormat="1">
      <c r="A36" s="3237"/>
      <c r="D36" s="1858"/>
      <c r="E36" s="1858"/>
    </row>
    <row r="37" spans="1:5" s="3238" customFormat="1">
      <c r="A37" s="3237"/>
      <c r="D37" s="1858"/>
      <c r="E37" s="1858"/>
    </row>
    <row r="38" spans="1:5" s="3238" customFormat="1">
      <c r="A38" s="3237"/>
      <c r="D38" s="1858"/>
      <c r="E38" s="1858"/>
    </row>
    <row r="39" spans="1:5" s="3238" customFormat="1">
      <c r="A39" s="3237"/>
      <c r="D39" s="1858"/>
      <c r="E39" s="1858"/>
    </row>
    <row r="40" spans="1:5" s="3238" customFormat="1">
      <c r="A40" s="3237"/>
      <c r="D40" s="1858"/>
      <c r="E40" s="1858"/>
    </row>
    <row r="41" spans="1:5" s="3238" customFormat="1">
      <c r="A41" s="3237"/>
      <c r="D41" s="1858"/>
      <c r="E41" s="1858"/>
    </row>
    <row r="42" spans="1:5" s="3238" customFormat="1">
      <c r="A42" s="3237"/>
      <c r="D42" s="1858"/>
      <c r="E42" s="1858"/>
    </row>
    <row r="43" spans="1:5" s="3238" customFormat="1">
      <c r="A43" s="3237"/>
      <c r="D43" s="1858"/>
      <c r="E43" s="1858"/>
    </row>
    <row r="44" spans="1:5" s="3238" customFormat="1">
      <c r="A44" s="3237"/>
      <c r="D44" s="1858"/>
      <c r="E44" s="1858"/>
    </row>
    <row r="45" spans="1:5" s="3238" customFormat="1">
      <c r="A45" s="3237"/>
      <c r="D45" s="1858"/>
      <c r="E45" s="1858"/>
    </row>
    <row r="46" spans="1:5" s="3238" customFormat="1">
      <c r="A46" s="3237"/>
      <c r="D46" s="1858"/>
      <c r="E46" s="1858"/>
    </row>
    <row r="47" spans="1:5" s="3238" customFormat="1">
      <c r="A47" s="3237"/>
      <c r="D47" s="1858"/>
      <c r="E47" s="1858"/>
    </row>
    <row r="48" spans="1:5" s="3238" customFormat="1">
      <c r="A48" s="3237"/>
      <c r="D48" s="1858"/>
      <c r="E48" s="1858"/>
    </row>
    <row r="49" spans="1:5" s="3238" customFormat="1">
      <c r="A49" s="3237"/>
      <c r="D49" s="1858"/>
      <c r="E49" s="1858"/>
    </row>
    <row r="50" spans="1:5" s="3238" customFormat="1">
      <c r="A50" s="3237"/>
      <c r="D50" s="1858"/>
      <c r="E50" s="1858"/>
    </row>
    <row r="51" spans="1:5" s="3238" customFormat="1">
      <c r="A51" s="3237"/>
      <c r="D51" s="1858"/>
      <c r="E51" s="1858"/>
    </row>
    <row r="52" spans="1:5" s="3238" customFormat="1">
      <c r="A52" s="3237"/>
      <c r="D52" s="1858"/>
      <c r="E52" s="1858"/>
    </row>
    <row r="53" spans="1:5" s="3238" customFormat="1">
      <c r="A53" s="3237"/>
      <c r="D53" s="1858"/>
      <c r="E53" s="1858"/>
    </row>
    <row r="54" spans="1:5" s="3238" customFormat="1">
      <c r="A54" s="3237"/>
      <c r="D54" s="1858"/>
      <c r="E54" s="1858"/>
    </row>
    <row r="55" spans="1:5" s="3238" customFormat="1">
      <c r="A55" s="3237"/>
      <c r="D55" s="1858"/>
      <c r="E55" s="1858"/>
    </row>
    <row r="56" spans="1:5" s="3238" customFormat="1">
      <c r="A56" s="3237"/>
      <c r="D56" s="1858"/>
      <c r="E56" s="1858"/>
    </row>
    <row r="57" spans="1:5" s="3238" customFormat="1">
      <c r="A57" s="3237"/>
      <c r="D57" s="1858"/>
      <c r="E57" s="1858"/>
    </row>
    <row r="58" spans="1:5" s="3238" customFormat="1">
      <c r="A58" s="3237"/>
      <c r="D58" s="1858"/>
      <c r="E58" s="1858"/>
    </row>
    <row r="59" spans="1:5" s="3238" customFormat="1">
      <c r="A59" s="3237"/>
      <c r="D59" s="1858"/>
      <c r="E59" s="1858"/>
    </row>
    <row r="60" spans="1:5" s="3238" customFormat="1">
      <c r="A60" s="3237"/>
      <c r="D60" s="1858"/>
      <c r="E60" s="1858"/>
    </row>
    <row r="61" spans="1:5" s="3238" customFormat="1">
      <c r="A61" s="3237"/>
      <c r="D61" s="1858"/>
      <c r="E61" s="1858"/>
    </row>
    <row r="62" spans="1:5" s="3238" customFormat="1">
      <c r="A62" s="3237"/>
      <c r="D62" s="1858"/>
      <c r="E62" s="1858"/>
    </row>
    <row r="63" spans="1:5" s="3238" customFormat="1">
      <c r="A63" s="3237"/>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38" t="s">
        <v>702</v>
      </c>
      <c r="C1" s="2439" t="s">
        <v>703</v>
      </c>
      <c r="D1" s="2440"/>
      <c r="E1" s="1983"/>
      <c r="F1" s="2495"/>
      <c r="G1" s="1507" t="s">
        <v>704</v>
      </c>
      <c r="H1" s="483"/>
      <c r="I1" s="483"/>
      <c r="J1" s="483"/>
      <c r="K1" s="484"/>
      <c r="L1" s="3178"/>
      <c r="M1" s="3179"/>
      <c r="N1" s="3179"/>
      <c r="O1" s="3179"/>
      <c r="P1" s="1475"/>
      <c r="Q1" s="1475"/>
      <c r="R1" s="1475"/>
      <c r="S1" s="1475"/>
      <c r="T1" s="1475"/>
      <c r="U1" s="1475"/>
      <c r="V1" s="1475"/>
      <c r="W1" s="1475"/>
      <c r="X1" s="1475"/>
      <c r="Y1" s="1475"/>
      <c r="Z1" s="1475"/>
      <c r="AA1" s="1475"/>
      <c r="AB1" s="1475"/>
      <c r="AC1" s="1476"/>
    </row>
    <row r="2" spans="1:29" s="1290" customFormat="1" ht="28.5" customHeight="1">
      <c r="A2" s="417" t="s">
        <v>461</v>
      </c>
      <c r="B2" s="2437"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493" t="s">
        <v>505</v>
      </c>
      <c r="D4" s="3494"/>
      <c r="E4" s="3549" t="s">
        <v>506</v>
      </c>
      <c r="F4" s="3550"/>
      <c r="G4" s="3493" t="s">
        <v>507</v>
      </c>
      <c r="H4" s="3494"/>
      <c r="I4" s="3493" t="s">
        <v>508</v>
      </c>
      <c r="J4" s="3494"/>
      <c r="K4" s="825" t="s">
        <v>509</v>
      </c>
      <c r="L4" s="1989"/>
      <c r="M4" s="1990"/>
      <c r="N4" s="1990"/>
      <c r="O4" s="1990"/>
      <c r="P4" s="3495" t="s">
        <v>510</v>
      </c>
      <c r="Q4" s="3496"/>
      <c r="R4" s="3501" t="s">
        <v>506</v>
      </c>
      <c r="S4" s="3502"/>
      <c r="T4" s="3501" t="s">
        <v>507</v>
      </c>
      <c r="U4" s="3502"/>
      <c r="V4" s="3488" t="s">
        <v>508</v>
      </c>
      <c r="W4" s="3488"/>
      <c r="X4" s="1477"/>
      <c r="Y4" s="3501" t="s">
        <v>510</v>
      </c>
      <c r="Z4" s="3502"/>
      <c r="AA4" s="3490" t="s">
        <v>506</v>
      </c>
      <c r="AB4" s="3490" t="s">
        <v>507</v>
      </c>
      <c r="AC4" s="3490" t="s">
        <v>508</v>
      </c>
    </row>
    <row r="5" spans="1:29" ht="15">
      <c r="A5" s="492"/>
      <c r="B5" s="493"/>
      <c r="C5" s="3509" t="s">
        <v>2873</v>
      </c>
      <c r="D5" s="3510"/>
      <c r="E5" s="3551" t="s">
        <v>2874</v>
      </c>
      <c r="F5" s="3552"/>
      <c r="G5" s="3509" t="s">
        <v>2875</v>
      </c>
      <c r="H5" s="3510"/>
      <c r="I5" s="3509" t="s">
        <v>2876</v>
      </c>
      <c r="J5" s="3510"/>
      <c r="K5" s="826"/>
      <c r="L5" s="1989"/>
      <c r="M5" s="1990"/>
      <c r="N5" s="1990"/>
      <c r="O5" s="1990"/>
      <c r="P5" s="3497"/>
      <c r="Q5" s="3498"/>
      <c r="R5" s="3503"/>
      <c r="S5" s="3504"/>
      <c r="T5" s="3503"/>
      <c r="U5" s="3504"/>
      <c r="V5" s="3488"/>
      <c r="W5" s="3488"/>
      <c r="X5" s="1477"/>
      <c r="Y5" s="3503"/>
      <c r="Z5" s="3504"/>
      <c r="AA5" s="3491"/>
      <c r="AB5" s="3491"/>
      <c r="AC5" s="3491"/>
    </row>
    <row r="6" spans="1:29" ht="15.75" thickBot="1">
      <c r="A6" s="494"/>
      <c r="B6" s="495"/>
      <c r="C6" s="3507" t="s">
        <v>2877</v>
      </c>
      <c r="D6" s="3508"/>
      <c r="E6" s="3547" t="s">
        <v>2877</v>
      </c>
      <c r="F6" s="3548"/>
      <c r="G6" s="3507" t="s">
        <v>2877</v>
      </c>
      <c r="H6" s="3508"/>
      <c r="I6" s="3507" t="s">
        <v>2877</v>
      </c>
      <c r="J6" s="3508"/>
      <c r="K6" s="826" t="s">
        <v>511</v>
      </c>
      <c r="L6" s="1989"/>
      <c r="M6" s="1990"/>
      <c r="N6" s="1990"/>
      <c r="O6" s="1990"/>
      <c r="P6" s="3499"/>
      <c r="Q6" s="3500"/>
      <c r="R6" s="3503"/>
      <c r="S6" s="3504"/>
      <c r="T6" s="3505"/>
      <c r="U6" s="3506"/>
      <c r="V6" s="3488"/>
      <c r="W6" s="3488"/>
      <c r="X6" s="1477"/>
      <c r="Y6" s="3505"/>
      <c r="Z6" s="3506"/>
      <c r="AA6" s="3492"/>
      <c r="AB6" s="3492"/>
      <c r="AC6" s="3492"/>
    </row>
    <row r="7" spans="1:29" s="1186" customFormat="1" ht="15.75" thickBot="1">
      <c r="A7" s="2600"/>
      <c r="B7" s="2607" t="s">
        <v>512</v>
      </c>
      <c r="C7" s="496">
        <f>'数据-取费表'!B2</f>
        <v>44574</v>
      </c>
      <c r="D7" s="497">
        <v>100</v>
      </c>
      <c r="E7" s="498"/>
      <c r="F7" s="499">
        <f>SUMIF(58:58,YEAR(E7)&amp;"-"&amp;MONTH(E7),59:59)</f>
        <v>0</v>
      </c>
      <c r="G7" s="500"/>
      <c r="H7" s="497">
        <f>SUMIF(58:58,YEAR(G7)&amp;"-"&amp;MONTH(G7),59:59)</f>
        <v>0</v>
      </c>
      <c r="I7" s="500"/>
      <c r="J7" s="497">
        <f>SUMIF(58:58,YEAR(I7)&amp;"-"&amp;MONTH(I7),59:59)</f>
        <v>0</v>
      </c>
      <c r="K7" s="827"/>
      <c r="L7" s="1991"/>
      <c r="M7" s="1992"/>
      <c r="N7" s="1992"/>
      <c r="O7" s="1992"/>
      <c r="P7" s="3518" t="s">
        <v>513</v>
      </c>
      <c r="Q7" s="3520"/>
      <c r="R7" s="1478" t="s">
        <v>13</v>
      </c>
      <c r="S7" s="1479">
        <f t="shared" ref="S7:S15" si="0">F7</f>
        <v>0</v>
      </c>
      <c r="T7" s="1478" t="s">
        <v>13</v>
      </c>
      <c r="U7" s="1479">
        <f t="shared" ref="U7:U15" si="1">H7</f>
        <v>0</v>
      </c>
      <c r="V7" s="1478" t="s">
        <v>13</v>
      </c>
      <c r="W7" s="1479">
        <f t="shared" ref="W7:W15" si="2">J7</f>
        <v>0</v>
      </c>
      <c r="X7" s="1480"/>
      <c r="Y7" s="3518" t="s">
        <v>513</v>
      </c>
      <c r="Z7" s="3519"/>
      <c r="AA7" s="1481" t="e">
        <f>D7/F7</f>
        <v>#DIV/0!</v>
      </c>
      <c r="AB7" s="1481" t="e">
        <f>D7/H7</f>
        <v>#DIV/0!</v>
      </c>
      <c r="AC7" s="1481" t="e">
        <f>D7/J7</f>
        <v>#DIV/0!</v>
      </c>
    </row>
    <row r="8" spans="1:29" s="1186" customFormat="1" ht="15.75" thickBot="1">
      <c r="A8" s="2601"/>
      <c r="B8" s="2608"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518" t="s">
        <v>516</v>
      </c>
      <c r="Q8" s="3519"/>
      <c r="R8" s="1478" t="s">
        <v>13</v>
      </c>
      <c r="S8" s="1479">
        <f t="shared" si="0"/>
        <v>0</v>
      </c>
      <c r="T8" s="1478" t="s">
        <v>13</v>
      </c>
      <c r="U8" s="1479">
        <f t="shared" si="1"/>
        <v>0</v>
      </c>
      <c r="V8" s="1478" t="s">
        <v>13</v>
      </c>
      <c r="W8" s="1479">
        <f t="shared" si="2"/>
        <v>0</v>
      </c>
      <c r="X8" s="1480"/>
      <c r="Y8" s="3518" t="s">
        <v>516</v>
      </c>
      <c r="Z8" s="3519"/>
      <c r="AA8" s="1481" t="e">
        <f t="shared" ref="AA8:AA46" si="3">D8/F8</f>
        <v>#DIV/0!</v>
      </c>
      <c r="AB8" s="1481" t="e">
        <f t="shared" ref="AB8:AB46" si="4">D8/H8</f>
        <v>#DIV/0!</v>
      </c>
      <c r="AC8" s="1481" t="e">
        <f t="shared" ref="AC8:AC46" si="5">D8/J8</f>
        <v>#DIV/0!</v>
      </c>
    </row>
    <row r="9" spans="1:29" s="1186" customFormat="1" ht="15">
      <c r="A9" s="2602"/>
      <c r="B9" s="2609" t="s">
        <v>2715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487" t="s">
        <v>518</v>
      </c>
      <c r="Q9" s="1117" t="str">
        <f t="shared" ref="Q9:Q15" si="6">B9</f>
        <v>用途</v>
      </c>
      <c r="R9" s="1478" t="s">
        <v>8</v>
      </c>
      <c r="S9" s="1479">
        <f t="shared" si="0"/>
        <v>100</v>
      </c>
      <c r="T9" s="1478" t="s">
        <v>8</v>
      </c>
      <c r="U9" s="1479">
        <f t="shared" si="1"/>
        <v>100</v>
      </c>
      <c r="V9" s="1478" t="s">
        <v>8</v>
      </c>
      <c r="W9" s="1479">
        <f t="shared" si="2"/>
        <v>100</v>
      </c>
      <c r="X9" s="1480"/>
      <c r="Y9" s="3433"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487"/>
      <c r="Q10" s="1117" t="str">
        <f t="shared" si="6"/>
        <v>土地使用年限（年）</v>
      </c>
      <c r="R10" s="1478" t="s">
        <v>8</v>
      </c>
      <c r="S10" s="1479">
        <f t="shared" si="0"/>
        <v>100</v>
      </c>
      <c r="T10" s="1478" t="s">
        <v>8</v>
      </c>
      <c r="U10" s="1479">
        <f t="shared" si="1"/>
        <v>100</v>
      </c>
      <c r="V10" s="1478" t="s">
        <v>8</v>
      </c>
      <c r="W10" s="1479">
        <f t="shared" si="2"/>
        <v>100</v>
      </c>
      <c r="X10" s="1480"/>
      <c r="Y10" s="3433"/>
      <c r="Z10" s="1116" t="str">
        <f t="shared" si="7"/>
        <v>土地使用年限（年）</v>
      </c>
      <c r="AA10" s="1481">
        <f t="shared" si="3"/>
        <v>1</v>
      </c>
      <c r="AB10" s="1481">
        <f t="shared" si="4"/>
        <v>1</v>
      </c>
      <c r="AC10" s="1481">
        <f t="shared" si="5"/>
        <v>1</v>
      </c>
    </row>
    <row r="11" spans="1:29" ht="15">
      <c r="A11" s="2604"/>
      <c r="B11" s="2608" t="s">
        <v>2717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487"/>
      <c r="Q11" s="1117" t="str">
        <f t="shared" si="6"/>
        <v>容积率</v>
      </c>
      <c r="R11" s="1478" t="s">
        <v>11</v>
      </c>
      <c r="S11" s="1479" t="e">
        <f t="shared" si="0"/>
        <v>#N/A</v>
      </c>
      <c r="T11" s="1478" t="s">
        <v>11</v>
      </c>
      <c r="U11" s="1479" t="e">
        <f t="shared" si="1"/>
        <v>#N/A</v>
      </c>
      <c r="V11" s="1478" t="s">
        <v>11</v>
      </c>
      <c r="W11" s="1479" t="e">
        <f t="shared" si="2"/>
        <v>#N/A</v>
      </c>
      <c r="X11" s="1480"/>
      <c r="Y11" s="3433"/>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487"/>
      <c r="Q12" s="1117">
        <f t="shared" si="6"/>
        <v>111</v>
      </c>
      <c r="R12" s="1478" t="s">
        <v>11</v>
      </c>
      <c r="S12" s="1479">
        <f t="shared" si="0"/>
        <v>100</v>
      </c>
      <c r="T12" s="1478" t="s">
        <v>11</v>
      </c>
      <c r="U12" s="1479">
        <f t="shared" si="1"/>
        <v>100</v>
      </c>
      <c r="V12" s="1478" t="s">
        <v>11</v>
      </c>
      <c r="W12" s="1479">
        <f t="shared" si="2"/>
        <v>100</v>
      </c>
      <c r="X12" s="1480"/>
      <c r="Y12" s="3433"/>
      <c r="Z12" s="1116">
        <f t="shared" si="7"/>
        <v>111</v>
      </c>
      <c r="AA12" s="1481">
        <f>D12/F12</f>
        <v>1</v>
      </c>
      <c r="AB12" s="1481">
        <f>D12/H12</f>
        <v>1</v>
      </c>
      <c r="AC12" s="1481">
        <f>D12/J12</f>
        <v>1</v>
      </c>
    </row>
    <row r="13" spans="1:29" ht="15">
      <c r="A13" s="2605"/>
      <c r="B13" s="2611">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487"/>
      <c r="Q13" s="1117">
        <f t="shared" si="6"/>
        <v>111</v>
      </c>
      <c r="R13" s="1478" t="s">
        <v>11</v>
      </c>
      <c r="S13" s="1479">
        <f t="shared" si="0"/>
        <v>100</v>
      </c>
      <c r="T13" s="1478" t="s">
        <v>11</v>
      </c>
      <c r="U13" s="1479">
        <f t="shared" si="1"/>
        <v>100</v>
      </c>
      <c r="V13" s="1478" t="s">
        <v>11</v>
      </c>
      <c r="W13" s="1479">
        <f t="shared" si="2"/>
        <v>100</v>
      </c>
      <c r="X13" s="1480"/>
      <c r="Y13" s="3433"/>
      <c r="Z13" s="1116">
        <f t="shared" si="7"/>
        <v>111</v>
      </c>
      <c r="AA13" s="1481">
        <f t="shared" si="3"/>
        <v>1</v>
      </c>
      <c r="AB13" s="1481">
        <f t="shared" si="4"/>
        <v>1</v>
      </c>
      <c r="AC13" s="1481">
        <f t="shared" si="5"/>
        <v>1</v>
      </c>
    </row>
    <row r="14" spans="1:29" ht="15.75" thickBot="1">
      <c r="A14" s="2606"/>
      <c r="B14" s="2612">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487"/>
      <c r="Q14" s="1117">
        <f t="shared" si="6"/>
        <v>111</v>
      </c>
      <c r="R14" s="1478" t="s">
        <v>11</v>
      </c>
      <c r="S14" s="1479">
        <f t="shared" si="0"/>
        <v>100</v>
      </c>
      <c r="T14" s="1478" t="s">
        <v>11</v>
      </c>
      <c r="U14" s="1479">
        <f t="shared" si="1"/>
        <v>100</v>
      </c>
      <c r="V14" s="1478" t="s">
        <v>11</v>
      </c>
      <c r="W14" s="1479">
        <f t="shared" si="2"/>
        <v>100</v>
      </c>
      <c r="X14" s="1480"/>
      <c r="Y14" s="3433"/>
      <c r="Z14" s="1116">
        <f t="shared" si="7"/>
        <v>111</v>
      </c>
      <c r="AA14" s="1481">
        <f t="shared" si="3"/>
        <v>1</v>
      </c>
      <c r="AB14" s="1481">
        <f t="shared" si="4"/>
        <v>1</v>
      </c>
      <c r="AC14" s="1481">
        <f t="shared" si="5"/>
        <v>1</v>
      </c>
    </row>
    <row r="15" spans="1:29" ht="99.75">
      <c r="A15" s="2598" t="s">
        <v>2713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521" t="s">
        <v>523</v>
      </c>
      <c r="Q15" s="1482" t="str">
        <f t="shared" si="6"/>
        <v>居住社区成熟度</v>
      </c>
      <c r="R15" s="1483" t="s">
        <v>11</v>
      </c>
      <c r="S15" s="1484">
        <f t="shared" si="0"/>
        <v>100</v>
      </c>
      <c r="T15" s="1483" t="s">
        <v>11</v>
      </c>
      <c r="U15" s="1484">
        <f t="shared" si="1"/>
        <v>100</v>
      </c>
      <c r="V15" s="1483" t="s">
        <v>11</v>
      </c>
      <c r="W15" s="1484">
        <f t="shared" si="2"/>
        <v>100</v>
      </c>
      <c r="X15" s="1477"/>
      <c r="Y15" s="3521"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522"/>
      <c r="Q16" s="1482"/>
      <c r="R16" s="1483"/>
      <c r="S16" s="1484"/>
      <c r="T16" s="1483"/>
      <c r="U16" s="1484"/>
      <c r="V16" s="1483"/>
      <c r="W16" s="1484"/>
      <c r="X16" s="1477"/>
      <c r="Y16" s="3522"/>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522"/>
      <c r="Q17" s="1482" t="str">
        <f>B17</f>
        <v>交通便捷度</v>
      </c>
      <c r="R17" s="1483" t="s">
        <v>11</v>
      </c>
      <c r="S17" s="1484">
        <f>F17</f>
        <v>100</v>
      </c>
      <c r="T17" s="1483" t="s">
        <v>11</v>
      </c>
      <c r="U17" s="1484">
        <f>H17</f>
        <v>100</v>
      </c>
      <c r="V17" s="1483" t="s">
        <v>11</v>
      </c>
      <c r="W17" s="1484">
        <f>J17</f>
        <v>100</v>
      </c>
      <c r="X17" s="1477"/>
      <c r="Y17" s="3522"/>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522"/>
      <c r="Q18" s="1482"/>
      <c r="R18" s="1483"/>
      <c r="S18" s="1484"/>
      <c r="T18" s="1483"/>
      <c r="U18" s="1484"/>
      <c r="V18" s="1483"/>
      <c r="W18" s="1484"/>
      <c r="X18" s="1477"/>
      <c r="Y18" s="3522"/>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522"/>
      <c r="Q19" s="1482" t="str">
        <f>B19</f>
        <v>公共配套设施</v>
      </c>
      <c r="R19" s="1483" t="s">
        <v>11</v>
      </c>
      <c r="S19" s="1484">
        <f>F19</f>
        <v>100</v>
      </c>
      <c r="T19" s="1483" t="s">
        <v>11</v>
      </c>
      <c r="U19" s="1484">
        <f>H19</f>
        <v>100</v>
      </c>
      <c r="V19" s="1483" t="s">
        <v>11</v>
      </c>
      <c r="W19" s="1484">
        <f>J19</f>
        <v>100</v>
      </c>
      <c r="X19" s="1477"/>
      <c r="Y19" s="3522"/>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522"/>
      <c r="Q20" s="1482"/>
      <c r="R20" s="1483"/>
      <c r="S20" s="1484"/>
      <c r="T20" s="1483"/>
      <c r="U20" s="1484"/>
      <c r="V20" s="1483"/>
      <c r="W20" s="1484"/>
      <c r="X20" s="1477"/>
      <c r="Y20" s="3522"/>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522"/>
      <c r="Q21" s="2400" t="str">
        <f>B21</f>
        <v>基础设施水平</v>
      </c>
      <c r="R21" s="1483" t="s">
        <v>11</v>
      </c>
      <c r="S21" s="1484">
        <f>F21</f>
        <v>100</v>
      </c>
      <c r="T21" s="1483" t="s">
        <v>11</v>
      </c>
      <c r="U21" s="1484">
        <f>H21</f>
        <v>100</v>
      </c>
      <c r="V21" s="1483" t="s">
        <v>11</v>
      </c>
      <c r="W21" s="1484">
        <f>J21</f>
        <v>100</v>
      </c>
      <c r="X21" s="2402"/>
      <c r="Y21" s="3522"/>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4"/>
      <c r="L22" s="1998"/>
      <c r="M22" s="1990"/>
      <c r="N22" s="1990"/>
      <c r="O22" s="1997"/>
      <c r="P22" s="3522"/>
      <c r="Q22" s="2400"/>
      <c r="R22" s="1483"/>
      <c r="S22" s="1484"/>
      <c r="T22" s="1483"/>
      <c r="U22" s="1484"/>
      <c r="V22" s="1483"/>
      <c r="W22" s="1484"/>
      <c r="X22" s="2402"/>
      <c r="Y22" s="3522"/>
      <c r="Z22" s="2401"/>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522"/>
      <c r="Q23" s="1482" t="str">
        <f>B23</f>
        <v>自然及人文环境</v>
      </c>
      <c r="R23" s="1483" t="s">
        <v>11</v>
      </c>
      <c r="S23" s="1484">
        <f>F23</f>
        <v>100</v>
      </c>
      <c r="T23" s="1483" t="s">
        <v>11</v>
      </c>
      <c r="U23" s="1484">
        <f>H23</f>
        <v>100</v>
      </c>
      <c r="V23" s="1483" t="s">
        <v>11</v>
      </c>
      <c r="W23" s="1484">
        <f>J23</f>
        <v>100</v>
      </c>
      <c r="X23" s="1477"/>
      <c r="Y23" s="3522"/>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522"/>
      <c r="Q24" s="1482"/>
      <c r="R24" s="1483"/>
      <c r="S24" s="1484"/>
      <c r="T24" s="1483"/>
      <c r="U24" s="1484"/>
      <c r="V24" s="1483"/>
      <c r="W24" s="1484"/>
      <c r="X24" s="1477"/>
      <c r="Y24" s="3522"/>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522"/>
      <c r="Q25" s="1482" t="str">
        <f t="shared" ref="Q25:Q46" si="11">B25</f>
        <v>楼层-1</v>
      </c>
      <c r="R25" s="1483" t="s">
        <v>11</v>
      </c>
      <c r="S25" s="1484">
        <f>F25</f>
        <v>100</v>
      </c>
      <c r="T25" s="1483" t="s">
        <v>11</v>
      </c>
      <c r="U25" s="1484">
        <f>H25</f>
        <v>100</v>
      </c>
      <c r="V25" s="1483" t="s">
        <v>11</v>
      </c>
      <c r="W25" s="1484">
        <f>J25</f>
        <v>100</v>
      </c>
      <c r="X25" s="1477"/>
      <c r="Y25" s="3522"/>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522"/>
      <c r="Q26" s="1482" t="str">
        <f t="shared" si="11"/>
        <v>朝向</v>
      </c>
      <c r="R26" s="1483" t="s">
        <v>11</v>
      </c>
      <c r="S26" s="1484">
        <f>F26</f>
        <v>100</v>
      </c>
      <c r="T26" s="1483" t="s">
        <v>11</v>
      </c>
      <c r="U26" s="1484">
        <f>H26</f>
        <v>100</v>
      </c>
      <c r="V26" s="1483" t="s">
        <v>11</v>
      </c>
      <c r="W26" s="1484">
        <f>J26</f>
        <v>100</v>
      </c>
      <c r="X26" s="1477"/>
      <c r="Y26" s="3522"/>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522"/>
      <c r="Q27" s="1117" t="str">
        <f t="shared" si="11"/>
        <v>道路级别</v>
      </c>
      <c r="R27" s="1478" t="s">
        <v>11</v>
      </c>
      <c r="S27" s="1479">
        <f>F27</f>
        <v>100</v>
      </c>
      <c r="T27" s="1478" t="s">
        <v>11</v>
      </c>
      <c r="U27" s="1479">
        <f>H27</f>
        <v>100</v>
      </c>
      <c r="V27" s="1478" t="s">
        <v>11</v>
      </c>
      <c r="W27" s="1479">
        <f>J27</f>
        <v>100</v>
      </c>
      <c r="X27" s="1480"/>
      <c r="Y27" s="3522"/>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522"/>
      <c r="Q28" s="1482">
        <f t="shared" si="11"/>
        <v>111</v>
      </c>
      <c r="R28" s="1483" t="s">
        <v>11</v>
      </c>
      <c r="S28" s="1484">
        <f t="shared" ref="S28:S46" si="12">F28</f>
        <v>100</v>
      </c>
      <c r="T28" s="1483" t="s">
        <v>11</v>
      </c>
      <c r="U28" s="1484">
        <f t="shared" ref="U28:U46" si="13">H28</f>
        <v>100</v>
      </c>
      <c r="V28" s="1483" t="s">
        <v>11</v>
      </c>
      <c r="W28" s="1484">
        <f t="shared" ref="W28:W46" si="14">J28</f>
        <v>100</v>
      </c>
      <c r="X28" s="1477"/>
      <c r="Y28" s="3522"/>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522"/>
      <c r="Q29" s="1482">
        <f t="shared" si="11"/>
        <v>111</v>
      </c>
      <c r="R29" s="1483" t="s">
        <v>11</v>
      </c>
      <c r="S29" s="1484">
        <f t="shared" si="12"/>
        <v>100</v>
      </c>
      <c r="T29" s="1483" t="s">
        <v>11</v>
      </c>
      <c r="U29" s="1484">
        <f t="shared" si="13"/>
        <v>100</v>
      </c>
      <c r="V29" s="1483" t="s">
        <v>11</v>
      </c>
      <c r="W29" s="1484">
        <f t="shared" si="14"/>
        <v>100</v>
      </c>
      <c r="X29" s="1477"/>
      <c r="Y29" s="3522"/>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522"/>
      <c r="Q30" s="1482">
        <f t="shared" si="11"/>
        <v>111</v>
      </c>
      <c r="R30" s="1483" t="s">
        <v>11</v>
      </c>
      <c r="S30" s="1484">
        <f t="shared" si="12"/>
        <v>100</v>
      </c>
      <c r="T30" s="1483" t="s">
        <v>11</v>
      </c>
      <c r="U30" s="1484">
        <f t="shared" si="13"/>
        <v>100</v>
      </c>
      <c r="V30" s="1483" t="s">
        <v>11</v>
      </c>
      <c r="W30" s="1484">
        <f t="shared" si="14"/>
        <v>100</v>
      </c>
      <c r="X30" s="1477"/>
      <c r="Y30" s="3522"/>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522"/>
      <c r="Q31" s="1482">
        <f t="shared" si="11"/>
        <v>111</v>
      </c>
      <c r="R31" s="1483" t="s">
        <v>11</v>
      </c>
      <c r="S31" s="1484">
        <f t="shared" si="12"/>
        <v>100</v>
      </c>
      <c r="T31" s="1483" t="s">
        <v>11</v>
      </c>
      <c r="U31" s="1484">
        <f t="shared" si="13"/>
        <v>100</v>
      </c>
      <c r="V31" s="1483" t="s">
        <v>11</v>
      </c>
      <c r="W31" s="1484">
        <f t="shared" si="14"/>
        <v>100</v>
      </c>
      <c r="X31" s="1477"/>
      <c r="Y31" s="3522"/>
      <c r="Z31" s="1485">
        <f t="shared" si="15"/>
        <v>111</v>
      </c>
      <c r="AA31" s="1486">
        <f t="shared" si="3"/>
        <v>1</v>
      </c>
      <c r="AB31" s="1486">
        <f t="shared" si="4"/>
        <v>1</v>
      </c>
      <c r="AC31" s="1486">
        <f t="shared" si="5"/>
        <v>1</v>
      </c>
    </row>
    <row r="32" spans="1:29" ht="15">
      <c r="A32" s="2595" t="s">
        <v>2714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523" t="s">
        <v>533</v>
      </c>
      <c r="Q32" s="1482" t="str">
        <f t="shared" si="11"/>
        <v>建筑类型</v>
      </c>
      <c r="R32" s="1483" t="s">
        <v>11</v>
      </c>
      <c r="S32" s="1484">
        <f t="shared" si="12"/>
        <v>100</v>
      </c>
      <c r="T32" s="1483" t="s">
        <v>11</v>
      </c>
      <c r="U32" s="1484">
        <f t="shared" si="13"/>
        <v>100</v>
      </c>
      <c r="V32" s="1483" t="s">
        <v>11</v>
      </c>
      <c r="W32" s="1484">
        <f t="shared" si="14"/>
        <v>100</v>
      </c>
      <c r="X32" s="1477"/>
      <c r="Y32" s="3524"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524"/>
      <c r="Q33" s="1511" t="str">
        <f t="shared" si="11"/>
        <v>项目建筑规模</v>
      </c>
      <c r="R33" s="1487" t="s">
        <v>11</v>
      </c>
      <c r="S33" s="1488" t="e">
        <f t="shared" si="12"/>
        <v>#N/A</v>
      </c>
      <c r="T33" s="1487" t="s">
        <v>11</v>
      </c>
      <c r="U33" s="1488" t="e">
        <f t="shared" si="13"/>
        <v>#N/A</v>
      </c>
      <c r="V33" s="1487" t="s">
        <v>11</v>
      </c>
      <c r="W33" s="1488" t="e">
        <f t="shared" si="14"/>
        <v>#N/A</v>
      </c>
      <c r="X33" s="1489"/>
      <c r="Y33" s="3524"/>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524"/>
      <c r="Q34" s="1482" t="str">
        <f t="shared" si="11"/>
        <v>建筑结构</v>
      </c>
      <c r="R34" s="1483" t="s">
        <v>11</v>
      </c>
      <c r="S34" s="1484">
        <f t="shared" si="12"/>
        <v>100</v>
      </c>
      <c r="T34" s="1483" t="s">
        <v>11</v>
      </c>
      <c r="U34" s="1484">
        <f t="shared" si="13"/>
        <v>100</v>
      </c>
      <c r="V34" s="1483" t="s">
        <v>11</v>
      </c>
      <c r="W34" s="1484">
        <f t="shared" si="14"/>
        <v>100</v>
      </c>
      <c r="X34" s="1477"/>
      <c r="Y34" s="3524"/>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524"/>
      <c r="Q35" s="1482" t="str">
        <f t="shared" si="11"/>
        <v>建筑品质</v>
      </c>
      <c r="R35" s="1483" t="s">
        <v>11</v>
      </c>
      <c r="S35" s="1484">
        <f t="shared" si="12"/>
        <v>100</v>
      </c>
      <c r="T35" s="1483" t="s">
        <v>11</v>
      </c>
      <c r="U35" s="1484">
        <f t="shared" si="13"/>
        <v>100</v>
      </c>
      <c r="V35" s="1483" t="s">
        <v>11</v>
      </c>
      <c r="W35" s="1484">
        <f t="shared" si="14"/>
        <v>100</v>
      </c>
      <c r="X35" s="1477"/>
      <c r="Y35" s="3524"/>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524"/>
      <c r="Q36" s="1482" t="str">
        <f t="shared" si="11"/>
        <v>公共部分装修</v>
      </c>
      <c r="R36" s="1483" t="s">
        <v>11</v>
      </c>
      <c r="S36" s="1484">
        <f t="shared" si="12"/>
        <v>100</v>
      </c>
      <c r="T36" s="1483" t="s">
        <v>11</v>
      </c>
      <c r="U36" s="1484">
        <f t="shared" si="13"/>
        <v>100</v>
      </c>
      <c r="V36" s="1483" t="s">
        <v>11</v>
      </c>
      <c r="W36" s="1484">
        <f t="shared" si="14"/>
        <v>100</v>
      </c>
      <c r="X36" s="1477"/>
      <c r="Y36" s="3524"/>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524"/>
      <c r="Q37" s="1117" t="str">
        <f t="shared" si="11"/>
        <v>成新度</v>
      </c>
      <c r="R37" s="1478" t="s">
        <v>11</v>
      </c>
      <c r="S37" s="1479" t="e">
        <f t="shared" si="12"/>
        <v>#N/A</v>
      </c>
      <c r="T37" s="1478" t="s">
        <v>11</v>
      </c>
      <c r="U37" s="1479" t="e">
        <f t="shared" si="13"/>
        <v>#N/A</v>
      </c>
      <c r="V37" s="1478" t="s">
        <v>11</v>
      </c>
      <c r="W37" s="1479" t="e">
        <f t="shared" si="14"/>
        <v>#N/A</v>
      </c>
      <c r="X37" s="1480"/>
      <c r="Y37" s="3524"/>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524" t="s">
        <v>533</v>
      </c>
      <c r="Q38" s="1482" t="str">
        <f t="shared" si="11"/>
        <v>物业管理</v>
      </c>
      <c r="R38" s="1483" t="s">
        <v>11</v>
      </c>
      <c r="S38" s="1484">
        <f t="shared" si="12"/>
        <v>100</v>
      </c>
      <c r="T38" s="1483" t="s">
        <v>11</v>
      </c>
      <c r="U38" s="1484">
        <f t="shared" si="13"/>
        <v>100</v>
      </c>
      <c r="V38" s="1483" t="s">
        <v>11</v>
      </c>
      <c r="W38" s="1484">
        <f t="shared" si="14"/>
        <v>100</v>
      </c>
      <c r="X38" s="1477"/>
      <c r="Y38" s="3524" t="s">
        <v>533</v>
      </c>
      <c r="Z38" s="1485" t="str">
        <f t="shared" si="15"/>
        <v>物业管理</v>
      </c>
      <c r="AA38" s="1486">
        <f t="shared" si="3"/>
        <v>1</v>
      </c>
      <c r="AB38" s="1486">
        <f t="shared" si="4"/>
        <v>1</v>
      </c>
      <c r="AC38" s="1486">
        <f t="shared" si="5"/>
        <v>1</v>
      </c>
    </row>
    <row r="39" spans="1:29" ht="15">
      <c r="A39" s="571"/>
      <c r="B39" s="1784" t="s">
        <v>2525</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524"/>
      <c r="Q39" s="1482" t="str">
        <f t="shared" si="11"/>
        <v>市政基础设施</v>
      </c>
      <c r="R39" s="1483" t="s">
        <v>11</v>
      </c>
      <c r="S39" s="1484">
        <f t="shared" si="12"/>
        <v>100</v>
      </c>
      <c r="T39" s="1483" t="s">
        <v>11</v>
      </c>
      <c r="U39" s="1484">
        <f t="shared" si="13"/>
        <v>100</v>
      </c>
      <c r="V39" s="1483" t="s">
        <v>11</v>
      </c>
      <c r="W39" s="1484">
        <f t="shared" si="14"/>
        <v>100</v>
      </c>
      <c r="X39" s="1477"/>
      <c r="Y39" s="3524"/>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524"/>
      <c r="Q40" s="1482" t="str">
        <f t="shared" si="11"/>
        <v>房型</v>
      </c>
      <c r="R40" s="1483" t="s">
        <v>11</v>
      </c>
      <c r="S40" s="1484">
        <f t="shared" si="12"/>
        <v>100</v>
      </c>
      <c r="T40" s="1483" t="s">
        <v>11</v>
      </c>
      <c r="U40" s="1484">
        <f t="shared" si="13"/>
        <v>100</v>
      </c>
      <c r="V40" s="1483" t="s">
        <v>11</v>
      </c>
      <c r="W40" s="1484">
        <f t="shared" si="14"/>
        <v>100</v>
      </c>
      <c r="X40" s="1477"/>
      <c r="Y40" s="3524"/>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524"/>
      <c r="Q41" s="1511" t="str">
        <f t="shared" si="11"/>
        <v>单套/主力户型建筑面积</v>
      </c>
      <c r="R41" s="1487" t="s">
        <v>11</v>
      </c>
      <c r="S41" s="1488">
        <f t="shared" si="12"/>
        <v>100</v>
      </c>
      <c r="T41" s="1487" t="s">
        <v>11</v>
      </c>
      <c r="U41" s="1488">
        <f t="shared" si="13"/>
        <v>100</v>
      </c>
      <c r="V41" s="1487" t="s">
        <v>11</v>
      </c>
      <c r="W41" s="1488">
        <f t="shared" si="14"/>
        <v>100</v>
      </c>
      <c r="X41" s="1489"/>
      <c r="Y41" s="3524"/>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524"/>
      <c r="Q42" s="1482" t="str">
        <f t="shared" si="11"/>
        <v>内部装修</v>
      </c>
      <c r="R42" s="1483" t="s">
        <v>11</v>
      </c>
      <c r="S42" s="1484">
        <f t="shared" si="12"/>
        <v>100</v>
      </c>
      <c r="T42" s="1483" t="s">
        <v>11</v>
      </c>
      <c r="U42" s="1484">
        <f t="shared" si="13"/>
        <v>100</v>
      </c>
      <c r="V42" s="1483" t="s">
        <v>11</v>
      </c>
      <c r="W42" s="1484">
        <f t="shared" si="14"/>
        <v>100</v>
      </c>
      <c r="X42" s="1477"/>
      <c r="Y42" s="3524"/>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524"/>
      <c r="Q43" s="1482" t="str">
        <f t="shared" si="11"/>
        <v>内部装修维护情况</v>
      </c>
      <c r="R43" s="1483" t="s">
        <v>11</v>
      </c>
      <c r="S43" s="1484">
        <f t="shared" si="12"/>
        <v>100</v>
      </c>
      <c r="T43" s="1483" t="s">
        <v>11</v>
      </c>
      <c r="U43" s="1484">
        <f t="shared" si="13"/>
        <v>100</v>
      </c>
      <c r="V43" s="1483" t="s">
        <v>11</v>
      </c>
      <c r="W43" s="1484">
        <f t="shared" si="14"/>
        <v>100</v>
      </c>
      <c r="X43" s="1477"/>
      <c r="Y43" s="3524"/>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524"/>
      <c r="Q44" s="1117">
        <f t="shared" si="11"/>
        <v>111</v>
      </c>
      <c r="R44" s="1478" t="s">
        <v>11</v>
      </c>
      <c r="S44" s="1479">
        <f t="shared" si="12"/>
        <v>100</v>
      </c>
      <c r="T44" s="1478" t="s">
        <v>11</v>
      </c>
      <c r="U44" s="1479">
        <f t="shared" si="13"/>
        <v>100</v>
      </c>
      <c r="V44" s="1478" t="s">
        <v>11</v>
      </c>
      <c r="W44" s="1479">
        <f t="shared" si="14"/>
        <v>100</v>
      </c>
      <c r="X44" s="1480"/>
      <c r="Y44" s="3524"/>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524"/>
      <c r="Q45" s="1482">
        <f t="shared" si="11"/>
        <v>111</v>
      </c>
      <c r="R45" s="1483" t="s">
        <v>11</v>
      </c>
      <c r="S45" s="1484">
        <f t="shared" si="12"/>
        <v>100</v>
      </c>
      <c r="T45" s="1483" t="s">
        <v>11</v>
      </c>
      <c r="U45" s="1484">
        <f t="shared" si="13"/>
        <v>100</v>
      </c>
      <c r="V45" s="1483" t="s">
        <v>11</v>
      </c>
      <c r="W45" s="1484">
        <f t="shared" si="14"/>
        <v>100</v>
      </c>
      <c r="X45" s="1477"/>
      <c r="Y45" s="3524"/>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628"/>
      <c r="Q46" s="1482">
        <f t="shared" si="11"/>
        <v>111</v>
      </c>
      <c r="R46" s="1483" t="s">
        <v>10</v>
      </c>
      <c r="S46" s="1484">
        <f t="shared" si="12"/>
        <v>100</v>
      </c>
      <c r="T46" s="1483" t="s">
        <v>10</v>
      </c>
      <c r="U46" s="1484">
        <f t="shared" si="13"/>
        <v>100</v>
      </c>
      <c r="V46" s="1483" t="s">
        <v>10</v>
      </c>
      <c r="W46" s="1484">
        <f t="shared" si="14"/>
        <v>100</v>
      </c>
      <c r="X46" s="1477"/>
      <c r="Y46" s="3628"/>
      <c r="Z46" s="1485">
        <f t="shared" si="15"/>
        <v>111</v>
      </c>
      <c r="AA46" s="1486">
        <f t="shared" si="3"/>
        <v>1</v>
      </c>
      <c r="AB46" s="1486">
        <f t="shared" si="4"/>
        <v>1</v>
      </c>
      <c r="AC46" s="1486">
        <f t="shared" si="5"/>
        <v>1</v>
      </c>
    </row>
    <row r="47" spans="1:29" ht="15">
      <c r="A47" s="584" t="s">
        <v>719</v>
      </c>
      <c r="B47" s="859"/>
      <c r="C47" s="2441" t="s">
        <v>9</v>
      </c>
      <c r="D47" s="2442"/>
      <c r="E47" s="2443"/>
      <c r="F47" s="2444"/>
      <c r="G47" s="2445"/>
      <c r="H47" s="2446"/>
      <c r="I47" s="2443"/>
      <c r="J47" s="2446"/>
      <c r="K47" s="1512"/>
      <c r="L47" s="2000"/>
      <c r="M47" s="2001"/>
      <c r="N47" s="1990"/>
      <c r="O47" s="2001"/>
      <c r="P47" s="3487" t="str">
        <f>A47</f>
        <v>成交单价（元/平方米）</v>
      </c>
      <c r="Q47" s="3487"/>
      <c r="R47" s="3627">
        <f>E47</f>
        <v>0</v>
      </c>
      <c r="S47" s="3627"/>
      <c r="T47" s="3627">
        <f>G47</f>
        <v>0</v>
      </c>
      <c r="U47" s="3627"/>
      <c r="V47" s="3627">
        <f>I47</f>
        <v>0</v>
      </c>
      <c r="W47" s="3627"/>
      <c r="X47" s="1472"/>
      <c r="Y47" s="1491"/>
      <c r="Z47" s="1472"/>
      <c r="AA47" s="1472"/>
      <c r="AB47" s="1472"/>
      <c r="AC47" s="1472"/>
    </row>
    <row r="48" spans="1:29" ht="15.75" thickBot="1">
      <c r="A48" s="592" t="s">
        <v>2719</v>
      </c>
      <c r="B48" s="860"/>
      <c r="C48" s="2447" t="e">
        <f>R49</f>
        <v>#DIV/0!</v>
      </c>
      <c r="D48" s="2982" t="s">
        <v>2946</v>
      </c>
      <c r="E48" s="2448" t="e">
        <f>R48</f>
        <v>#DIV/0!</v>
      </c>
      <c r="F48" s="2983"/>
      <c r="G48" s="2447" t="e">
        <f>T48</f>
        <v>#DIV/0!</v>
      </c>
      <c r="H48" s="2983"/>
      <c r="I48" s="2448" t="e">
        <f>V48</f>
        <v>#DIV/0!</v>
      </c>
      <c r="J48" s="2983"/>
      <c r="K48" s="2991">
        <f>F48+H48+J48</f>
        <v>0</v>
      </c>
      <c r="L48" s="2000"/>
      <c r="M48" s="2001"/>
      <c r="N48" s="2001"/>
      <c r="O48" s="2001"/>
      <c r="P48" s="3487" t="str">
        <f>A48</f>
        <v>比较价格（元/平方米）</v>
      </c>
      <c r="Q48" s="3487"/>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72"/>
      <c r="Y48" s="1472"/>
      <c r="Z48" s="1472"/>
      <c r="AA48" s="1472"/>
      <c r="AB48" s="1472"/>
      <c r="AC48" s="1472"/>
    </row>
    <row r="49" spans="1:29" ht="15.75" thickBot="1">
      <c r="A49" s="596" t="s">
        <v>2879</v>
      </c>
      <c r="B49" s="597"/>
      <c r="C49" s="2449" t="e">
        <f>R49</f>
        <v>#DIV/0!</v>
      </c>
      <c r="D49" s="2449"/>
      <c r="E49" s="2449"/>
      <c r="F49" s="2449"/>
      <c r="G49" s="2449"/>
      <c r="H49" s="2449"/>
      <c r="I49" s="2449"/>
      <c r="J49" s="2449"/>
      <c r="K49" s="1513"/>
      <c r="L49" s="2000"/>
      <c r="M49" s="2001"/>
      <c r="N49" s="2001"/>
      <c r="O49" s="2001"/>
      <c r="P49" s="3484" t="str">
        <f>A49</f>
        <v>估价对象XX用房的比较价格（楼面单价，元/平方米）</v>
      </c>
      <c r="Q49" s="3485"/>
      <c r="R49" s="3626" t="e">
        <f>IF(F1="售价",ROUND(IF(D48="简单平均",AVERAGE(R48:V48),R48*F48+T48*H48+V48*J48),0),ROUND(IF(D48="简单平均",AVERAGE(R48:V48),R48*F48+T48*H48+V48*J48),1))</f>
        <v>#DIV/0!</v>
      </c>
      <c r="S49" s="3626"/>
      <c r="T49" s="3626"/>
      <c r="U49" s="3626"/>
      <c r="V49" s="3626"/>
      <c r="W49" s="3626"/>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2" t="str">
        <f>YEAR(C7)&amp;"-"&amp;MONTH(C7)</f>
        <v>2022-1</v>
      </c>
      <c r="D58" s="2492">
        <f>EDATE(C58,-1)</f>
        <v>44531</v>
      </c>
      <c r="E58" s="2492">
        <f t="shared" ref="E58:O58" si="16">EDATE(D58,-1)</f>
        <v>44501</v>
      </c>
      <c r="F58" s="2492">
        <f t="shared" si="16"/>
        <v>44470</v>
      </c>
      <c r="G58" s="2492">
        <f t="shared" si="16"/>
        <v>44440</v>
      </c>
      <c r="H58" s="2492">
        <f t="shared" si="16"/>
        <v>44409</v>
      </c>
      <c r="I58" s="2492">
        <f t="shared" si="16"/>
        <v>44378</v>
      </c>
      <c r="J58" s="2492">
        <f t="shared" si="16"/>
        <v>44348</v>
      </c>
      <c r="K58" s="2492">
        <f t="shared" si="16"/>
        <v>44317</v>
      </c>
      <c r="L58" s="2492">
        <f t="shared" si="16"/>
        <v>44287</v>
      </c>
      <c r="M58" s="2492">
        <f t="shared" si="16"/>
        <v>44256</v>
      </c>
      <c r="N58" s="2492">
        <f t="shared" si="16"/>
        <v>44228</v>
      </c>
      <c r="O58" s="2492">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2517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493" t="s">
        <v>505</v>
      </c>
      <c r="D4" s="3494"/>
      <c r="E4" s="3549" t="s">
        <v>506</v>
      </c>
      <c r="F4" s="3550"/>
      <c r="G4" s="3493" t="s">
        <v>507</v>
      </c>
      <c r="H4" s="3494"/>
      <c r="I4" s="3493" t="s">
        <v>508</v>
      </c>
      <c r="J4" s="3494"/>
      <c r="K4" s="491" t="s">
        <v>509</v>
      </c>
      <c r="L4" s="1989"/>
      <c r="M4" s="1990"/>
      <c r="N4" s="1990"/>
      <c r="O4" s="1990"/>
      <c r="P4" s="3495" t="s">
        <v>510</v>
      </c>
      <c r="Q4" s="3496"/>
      <c r="R4" s="3501" t="s">
        <v>506</v>
      </c>
      <c r="S4" s="3502"/>
      <c r="T4" s="3501" t="s">
        <v>507</v>
      </c>
      <c r="U4" s="3502"/>
      <c r="V4" s="3488" t="s">
        <v>508</v>
      </c>
      <c r="W4" s="3488"/>
      <c r="X4" s="1477"/>
      <c r="Y4" s="3501" t="s">
        <v>510</v>
      </c>
      <c r="Z4" s="3502"/>
      <c r="AA4" s="3490" t="s">
        <v>506</v>
      </c>
      <c r="AB4" s="3488" t="s">
        <v>507</v>
      </c>
      <c r="AC4" s="3490" t="s">
        <v>508</v>
      </c>
    </row>
    <row r="5" spans="1:29" ht="15">
      <c r="A5" s="492"/>
      <c r="B5" s="493"/>
      <c r="C5" s="3509" t="s">
        <v>2873</v>
      </c>
      <c r="D5" s="3510"/>
      <c r="E5" s="3551" t="s">
        <v>2874</v>
      </c>
      <c r="F5" s="3552"/>
      <c r="G5" s="3509" t="s">
        <v>2875</v>
      </c>
      <c r="H5" s="3510"/>
      <c r="I5" s="3509" t="s">
        <v>2876</v>
      </c>
      <c r="J5" s="3510"/>
      <c r="K5" s="491"/>
      <c r="L5" s="1989"/>
      <c r="M5" s="1990"/>
      <c r="N5" s="1990"/>
      <c r="O5" s="1990"/>
      <c r="P5" s="3497"/>
      <c r="Q5" s="3498"/>
      <c r="R5" s="3503"/>
      <c r="S5" s="3504"/>
      <c r="T5" s="3503"/>
      <c r="U5" s="3504"/>
      <c r="V5" s="3488"/>
      <c r="W5" s="3488"/>
      <c r="X5" s="1477"/>
      <c r="Y5" s="3503"/>
      <c r="Z5" s="3504"/>
      <c r="AA5" s="3491"/>
      <c r="AB5" s="3488"/>
      <c r="AC5" s="3491"/>
    </row>
    <row r="6" spans="1:29" ht="15.75" thickBot="1">
      <c r="A6" s="494"/>
      <c r="B6" s="495"/>
      <c r="C6" s="3507" t="s">
        <v>2877</v>
      </c>
      <c r="D6" s="3508"/>
      <c r="E6" s="3547" t="s">
        <v>2877</v>
      </c>
      <c r="F6" s="3548"/>
      <c r="G6" s="3507" t="s">
        <v>2877</v>
      </c>
      <c r="H6" s="3508"/>
      <c r="I6" s="3507" t="s">
        <v>2877</v>
      </c>
      <c r="J6" s="3508"/>
      <c r="K6" s="491" t="s">
        <v>511</v>
      </c>
      <c r="L6" s="1989"/>
      <c r="M6" s="1990"/>
      <c r="N6" s="1990"/>
      <c r="O6" s="1990"/>
      <c r="P6" s="3499"/>
      <c r="Q6" s="3500"/>
      <c r="R6" s="3503"/>
      <c r="S6" s="3504"/>
      <c r="T6" s="3505"/>
      <c r="U6" s="3506"/>
      <c r="V6" s="3488"/>
      <c r="W6" s="3488"/>
      <c r="X6" s="1477"/>
      <c r="Y6" s="3505"/>
      <c r="Z6" s="3506"/>
      <c r="AA6" s="3492"/>
      <c r="AB6" s="3488"/>
      <c r="AC6" s="3492"/>
    </row>
    <row r="7" spans="1:29" s="1186" customFormat="1" ht="15.75" thickBot="1">
      <c r="A7" s="2600"/>
      <c r="B7" s="2607" t="s">
        <v>512</v>
      </c>
      <c r="C7" s="496">
        <f>'数据-取费表'!B2</f>
        <v>44574</v>
      </c>
      <c r="D7" s="497">
        <v>100</v>
      </c>
      <c r="E7" s="498"/>
      <c r="F7" s="499">
        <f>SUMIF(58:58,YEAR(E7)&amp;"-"&amp;MONTH(E7),59:59)</f>
        <v>0</v>
      </c>
      <c r="G7" s="498"/>
      <c r="H7" s="497">
        <f>SUMIF(58:58,YEAR(G7)&amp;"-"&amp;MONTH(G7),59:59)</f>
        <v>0</v>
      </c>
      <c r="I7" s="498"/>
      <c r="J7" s="497">
        <f>SUMIF(58:58,YEAR(I7)&amp;"-"&amp;MONTH(I7),59:59)</f>
        <v>0</v>
      </c>
      <c r="K7" s="501"/>
      <c r="L7" s="1991"/>
      <c r="M7" s="1992"/>
      <c r="N7" s="1992"/>
      <c r="O7" s="1992"/>
      <c r="P7" s="3518" t="s">
        <v>513</v>
      </c>
      <c r="Q7" s="3520"/>
      <c r="R7" s="1478" t="s">
        <v>8</v>
      </c>
      <c r="S7" s="1479">
        <f t="shared" ref="S7:S15" si="0">F7</f>
        <v>0</v>
      </c>
      <c r="T7" s="1478" t="s">
        <v>8</v>
      </c>
      <c r="U7" s="1479">
        <f t="shared" ref="U7:U15" si="1">H7</f>
        <v>0</v>
      </c>
      <c r="V7" s="1478" t="s">
        <v>8</v>
      </c>
      <c r="W7" s="1479">
        <f t="shared" ref="W7:W15" si="2">J7</f>
        <v>0</v>
      </c>
      <c r="X7" s="1480"/>
      <c r="Y7" s="3518" t="s">
        <v>513</v>
      </c>
      <c r="Z7" s="3519"/>
      <c r="AA7" s="1481" t="e">
        <f>D7/F7</f>
        <v>#DIV/0!</v>
      </c>
      <c r="AB7" s="1481" t="e">
        <f>D7/H7</f>
        <v>#DIV/0!</v>
      </c>
      <c r="AC7" s="1481" t="e">
        <f>D7/J7</f>
        <v>#DIV/0!</v>
      </c>
    </row>
    <row r="8" spans="1:29" s="1186" customFormat="1" ht="15.75" thickBot="1">
      <c r="A8" s="2601"/>
      <c r="B8" s="2608"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518" t="s">
        <v>516</v>
      </c>
      <c r="Q8" s="3519"/>
      <c r="R8" s="1478" t="s">
        <v>8</v>
      </c>
      <c r="S8" s="1479">
        <f t="shared" si="0"/>
        <v>0</v>
      </c>
      <c r="T8" s="1478" t="s">
        <v>8</v>
      </c>
      <c r="U8" s="1479">
        <f t="shared" si="1"/>
        <v>0</v>
      </c>
      <c r="V8" s="1478" t="s">
        <v>8</v>
      </c>
      <c r="W8" s="1479">
        <f t="shared" si="2"/>
        <v>0</v>
      </c>
      <c r="X8" s="1480"/>
      <c r="Y8" s="3518" t="s">
        <v>516</v>
      </c>
      <c r="Z8" s="3519"/>
      <c r="AA8" s="1481" t="e">
        <f t="shared" ref="AA8:AA46" si="3">D8/F8</f>
        <v>#DIV/0!</v>
      </c>
      <c r="AB8" s="1481" t="e">
        <f t="shared" ref="AB8:AB46" si="4">D8/H8</f>
        <v>#DIV/0!</v>
      </c>
      <c r="AC8" s="1481" t="e">
        <f t="shared" ref="AC8:AC46" si="5">D8/J8</f>
        <v>#DIV/0!</v>
      </c>
    </row>
    <row r="9" spans="1:29" s="1186" customFormat="1" ht="15">
      <c r="A9" s="2602"/>
      <c r="B9" s="2609" t="s">
        <v>2715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487" t="s">
        <v>518</v>
      </c>
      <c r="Q9" s="1117" t="str">
        <f t="shared" ref="Q9:Q15" si="6">B9</f>
        <v>用途</v>
      </c>
      <c r="R9" s="1478" t="s">
        <v>8</v>
      </c>
      <c r="S9" s="1479">
        <f t="shared" si="0"/>
        <v>100</v>
      </c>
      <c r="T9" s="1478" t="s">
        <v>8</v>
      </c>
      <c r="U9" s="1479">
        <f t="shared" si="1"/>
        <v>100</v>
      </c>
      <c r="V9" s="1478" t="s">
        <v>8</v>
      </c>
      <c r="W9" s="1479">
        <f t="shared" si="2"/>
        <v>100</v>
      </c>
      <c r="X9" s="1480"/>
      <c r="Y9" s="3433"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487"/>
      <c r="Q10" s="1117" t="str">
        <f t="shared" si="6"/>
        <v>土地使用年限（年）</v>
      </c>
      <c r="R10" s="1478" t="s">
        <v>8</v>
      </c>
      <c r="S10" s="1479">
        <f t="shared" si="0"/>
        <v>100</v>
      </c>
      <c r="T10" s="1478" t="s">
        <v>8</v>
      </c>
      <c r="U10" s="1479">
        <f t="shared" si="1"/>
        <v>100</v>
      </c>
      <c r="V10" s="1478" t="s">
        <v>8</v>
      </c>
      <c r="W10" s="1479">
        <f t="shared" si="2"/>
        <v>100</v>
      </c>
      <c r="X10" s="1480"/>
      <c r="Y10" s="3433"/>
      <c r="Z10" s="1116" t="str">
        <f t="shared" si="7"/>
        <v>土地使用年限（年）</v>
      </c>
      <c r="AA10" s="1481">
        <f t="shared" si="3"/>
        <v>1</v>
      </c>
      <c r="AB10" s="1481">
        <f t="shared" si="4"/>
        <v>1</v>
      </c>
      <c r="AC10" s="1481">
        <f t="shared" si="5"/>
        <v>1</v>
      </c>
    </row>
    <row r="11" spans="1:29" ht="15">
      <c r="A11" s="2604"/>
      <c r="B11" s="2608" t="s">
        <v>2717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487"/>
      <c r="Q11" s="1117" t="str">
        <f t="shared" si="6"/>
        <v>容积率</v>
      </c>
      <c r="R11" s="1478" t="s">
        <v>8</v>
      </c>
      <c r="S11" s="1479" t="e">
        <f t="shared" si="0"/>
        <v>#N/A</v>
      </c>
      <c r="T11" s="1478" t="s">
        <v>8</v>
      </c>
      <c r="U11" s="1479" t="e">
        <f t="shared" si="1"/>
        <v>#N/A</v>
      </c>
      <c r="V11" s="1478" t="s">
        <v>8</v>
      </c>
      <c r="W11" s="1479" t="e">
        <f t="shared" si="2"/>
        <v>#N/A</v>
      </c>
      <c r="X11" s="1480"/>
      <c r="Y11" s="3433"/>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487"/>
      <c r="Q12" s="1117">
        <f t="shared" si="6"/>
        <v>111</v>
      </c>
      <c r="R12" s="1478" t="s">
        <v>8</v>
      </c>
      <c r="S12" s="1479">
        <f t="shared" si="0"/>
        <v>100</v>
      </c>
      <c r="T12" s="1478" t="s">
        <v>8</v>
      </c>
      <c r="U12" s="1479">
        <f t="shared" si="1"/>
        <v>100</v>
      </c>
      <c r="V12" s="1478" t="s">
        <v>8</v>
      </c>
      <c r="W12" s="1479">
        <f t="shared" si="2"/>
        <v>100</v>
      </c>
      <c r="X12" s="1480"/>
      <c r="Y12" s="3433"/>
      <c r="Z12" s="1116">
        <f t="shared" si="7"/>
        <v>111</v>
      </c>
      <c r="AA12" s="1481">
        <f>D12/F12</f>
        <v>1</v>
      </c>
      <c r="AB12" s="1481">
        <f>D12/H12</f>
        <v>1</v>
      </c>
      <c r="AC12" s="1481">
        <f>D12/J12</f>
        <v>1</v>
      </c>
    </row>
    <row r="13" spans="1:29" ht="15">
      <c r="A13" s="2605"/>
      <c r="B13" s="2611">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487"/>
      <c r="Q13" s="1117">
        <f t="shared" si="6"/>
        <v>111</v>
      </c>
      <c r="R13" s="1478" t="s">
        <v>8</v>
      </c>
      <c r="S13" s="1479">
        <f t="shared" si="0"/>
        <v>100</v>
      </c>
      <c r="T13" s="1478" t="s">
        <v>8</v>
      </c>
      <c r="U13" s="1479">
        <f t="shared" si="1"/>
        <v>100</v>
      </c>
      <c r="V13" s="1478" t="s">
        <v>8</v>
      </c>
      <c r="W13" s="1479">
        <f t="shared" si="2"/>
        <v>100</v>
      </c>
      <c r="X13" s="1480"/>
      <c r="Y13" s="3433"/>
      <c r="Z13" s="1116">
        <f t="shared" si="7"/>
        <v>111</v>
      </c>
      <c r="AA13" s="1481">
        <f t="shared" si="3"/>
        <v>1</v>
      </c>
      <c r="AB13" s="1481">
        <f t="shared" si="4"/>
        <v>1</v>
      </c>
      <c r="AC13" s="1481">
        <f t="shared" si="5"/>
        <v>1</v>
      </c>
    </row>
    <row r="14" spans="1:29" ht="15.75" thickBot="1">
      <c r="A14" s="2606"/>
      <c r="B14" s="2612">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487"/>
      <c r="Q14" s="1117">
        <f t="shared" si="6"/>
        <v>111</v>
      </c>
      <c r="R14" s="1478" t="s">
        <v>8</v>
      </c>
      <c r="S14" s="1479">
        <f t="shared" si="0"/>
        <v>100</v>
      </c>
      <c r="T14" s="1478" t="s">
        <v>8</v>
      </c>
      <c r="U14" s="1479">
        <f t="shared" si="1"/>
        <v>100</v>
      </c>
      <c r="V14" s="1478" t="s">
        <v>8</v>
      </c>
      <c r="W14" s="1479">
        <f t="shared" si="2"/>
        <v>100</v>
      </c>
      <c r="X14" s="1480"/>
      <c r="Y14" s="3433"/>
      <c r="Z14" s="1116">
        <f t="shared" si="7"/>
        <v>111</v>
      </c>
      <c r="AA14" s="1481">
        <f t="shared" si="3"/>
        <v>1</v>
      </c>
      <c r="AB14" s="1481">
        <f t="shared" si="4"/>
        <v>1</v>
      </c>
      <c r="AC14" s="1481">
        <f t="shared" si="5"/>
        <v>1</v>
      </c>
    </row>
    <row r="15" spans="1:29" ht="71.25">
      <c r="A15" s="2598" t="s">
        <v>2713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521" t="s">
        <v>523</v>
      </c>
      <c r="Q15" s="1482" t="str">
        <f t="shared" si="6"/>
        <v>商业繁华度</v>
      </c>
      <c r="R15" s="1483" t="s">
        <v>8</v>
      </c>
      <c r="S15" s="1484">
        <f t="shared" si="0"/>
        <v>100</v>
      </c>
      <c r="T15" s="1483" t="s">
        <v>8</v>
      </c>
      <c r="U15" s="1484">
        <f t="shared" si="1"/>
        <v>100</v>
      </c>
      <c r="V15" s="1483" t="s">
        <v>8</v>
      </c>
      <c r="W15" s="1484">
        <f t="shared" si="2"/>
        <v>100</v>
      </c>
      <c r="X15" s="1477"/>
      <c r="Y15" s="3521"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22"/>
      <c r="Q16" s="1482"/>
      <c r="R16" s="1483"/>
      <c r="S16" s="1484"/>
      <c r="T16" s="1483"/>
      <c r="U16" s="1484"/>
      <c r="V16" s="1483"/>
      <c r="W16" s="1484"/>
      <c r="X16" s="1477"/>
      <c r="Y16" s="3522"/>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522"/>
      <c r="Q17" s="1482" t="str">
        <f>B17</f>
        <v>交通便捷度</v>
      </c>
      <c r="R17" s="1483" t="s">
        <v>8</v>
      </c>
      <c r="S17" s="1484">
        <f>F17</f>
        <v>100</v>
      </c>
      <c r="T17" s="1483" t="s">
        <v>8</v>
      </c>
      <c r="U17" s="1484">
        <f>H17</f>
        <v>100</v>
      </c>
      <c r="V17" s="1483" t="s">
        <v>8</v>
      </c>
      <c r="W17" s="1484">
        <f>J17</f>
        <v>100</v>
      </c>
      <c r="X17" s="1477"/>
      <c r="Y17" s="3522"/>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22"/>
      <c r="Q18" s="1482"/>
      <c r="R18" s="1483"/>
      <c r="S18" s="1484"/>
      <c r="T18" s="1483"/>
      <c r="U18" s="1484"/>
      <c r="V18" s="1483"/>
      <c r="W18" s="1484"/>
      <c r="X18" s="1477"/>
      <c r="Y18" s="3522"/>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522"/>
      <c r="Q19" s="1482" t="str">
        <f>B19</f>
        <v>公共配套设施</v>
      </c>
      <c r="R19" s="1483" t="s">
        <v>8</v>
      </c>
      <c r="S19" s="1484">
        <f>F19</f>
        <v>100</v>
      </c>
      <c r="T19" s="1483" t="s">
        <v>8</v>
      </c>
      <c r="U19" s="1484">
        <f>H19</f>
        <v>100</v>
      </c>
      <c r="V19" s="1483" t="s">
        <v>8</v>
      </c>
      <c r="W19" s="1484">
        <f>J19</f>
        <v>100</v>
      </c>
      <c r="X19" s="1477"/>
      <c r="Y19" s="3522"/>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522"/>
      <c r="Q20" s="1482"/>
      <c r="R20" s="1483"/>
      <c r="S20" s="1484"/>
      <c r="T20" s="1483"/>
      <c r="U20" s="1484"/>
      <c r="V20" s="1483"/>
      <c r="W20" s="1484"/>
      <c r="X20" s="1477"/>
      <c r="Y20" s="3522"/>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522"/>
      <c r="Q21" s="2400" t="str">
        <f>B21</f>
        <v>基础设施水平</v>
      </c>
      <c r="R21" s="1483" t="s">
        <v>8</v>
      </c>
      <c r="S21" s="1484">
        <f>F21</f>
        <v>100</v>
      </c>
      <c r="T21" s="1483" t="s">
        <v>8</v>
      </c>
      <c r="U21" s="1484">
        <f>H21</f>
        <v>100</v>
      </c>
      <c r="V21" s="1483" t="s">
        <v>8</v>
      </c>
      <c r="W21" s="1484">
        <f>J21</f>
        <v>100</v>
      </c>
      <c r="X21" s="2402"/>
      <c r="Y21" s="3522"/>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7"/>
      <c r="L22" s="1998"/>
      <c r="M22" s="1990"/>
      <c r="N22" s="1990"/>
      <c r="O22" s="1997"/>
      <c r="P22" s="3522"/>
      <c r="Q22" s="2400"/>
      <c r="R22" s="1483"/>
      <c r="S22" s="1484"/>
      <c r="T22" s="1483"/>
      <c r="U22" s="1484"/>
      <c r="V22" s="1483"/>
      <c r="W22" s="1484"/>
      <c r="X22" s="2402"/>
      <c r="Y22" s="3522"/>
      <c r="Z22" s="2401"/>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522"/>
      <c r="Q23" s="1482" t="str">
        <f>B23</f>
        <v>自然及人文环境</v>
      </c>
      <c r="R23" s="1483" t="s">
        <v>8</v>
      </c>
      <c r="S23" s="1484">
        <f>F23</f>
        <v>100</v>
      </c>
      <c r="T23" s="1483" t="s">
        <v>8</v>
      </c>
      <c r="U23" s="1484">
        <f>H23</f>
        <v>100</v>
      </c>
      <c r="V23" s="1483" t="s">
        <v>8</v>
      </c>
      <c r="W23" s="1484">
        <f>J23</f>
        <v>100</v>
      </c>
      <c r="X23" s="1477"/>
      <c r="Y23" s="3522"/>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522"/>
      <c r="Q24" s="1482"/>
      <c r="R24" s="1483"/>
      <c r="S24" s="1484"/>
      <c r="T24" s="1483"/>
      <c r="U24" s="1484"/>
      <c r="V24" s="1483"/>
      <c r="W24" s="1484"/>
      <c r="X24" s="1477"/>
      <c r="Y24" s="3522"/>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522"/>
      <c r="Q25" s="1482" t="str">
        <f t="shared" ref="Q25:Q46" si="11">B25</f>
        <v>临街状况</v>
      </c>
      <c r="R25" s="1483" t="s">
        <v>8</v>
      </c>
      <c r="S25" s="1484">
        <f>F25</f>
        <v>100</v>
      </c>
      <c r="T25" s="1483" t="s">
        <v>8</v>
      </c>
      <c r="U25" s="1484">
        <f>H25</f>
        <v>100</v>
      </c>
      <c r="V25" s="1483" t="s">
        <v>8</v>
      </c>
      <c r="W25" s="1484">
        <f>J25</f>
        <v>100</v>
      </c>
      <c r="X25" s="1477"/>
      <c r="Y25" s="3522"/>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522"/>
      <c r="Q26" s="1482" t="str">
        <f t="shared" si="11"/>
        <v>平面位置/可视性</v>
      </c>
      <c r="R26" s="1483" t="s">
        <v>8</v>
      </c>
      <c r="S26" s="1484">
        <f>F26</f>
        <v>100</v>
      </c>
      <c r="T26" s="1483" t="s">
        <v>8</v>
      </c>
      <c r="U26" s="1484">
        <f>H26</f>
        <v>100</v>
      </c>
      <c r="V26" s="1483" t="s">
        <v>8</v>
      </c>
      <c r="W26" s="1484">
        <f>J26</f>
        <v>100</v>
      </c>
      <c r="X26" s="1477"/>
      <c r="Y26" s="3522"/>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522"/>
      <c r="Q27" s="1117" t="str">
        <f t="shared" si="11"/>
        <v>人流量</v>
      </c>
      <c r="R27" s="1478" t="s">
        <v>8</v>
      </c>
      <c r="S27" s="1479">
        <f>F27</f>
        <v>100</v>
      </c>
      <c r="T27" s="1478" t="s">
        <v>8</v>
      </c>
      <c r="U27" s="1479">
        <f>H27</f>
        <v>100</v>
      </c>
      <c r="V27" s="1478" t="s">
        <v>8</v>
      </c>
      <c r="W27" s="1479">
        <f>J27</f>
        <v>100</v>
      </c>
      <c r="X27" s="1480"/>
      <c r="Y27" s="3522"/>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522"/>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522"/>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522"/>
      <c r="Q29" s="1482">
        <f t="shared" si="11"/>
        <v>111</v>
      </c>
      <c r="R29" s="1483" t="s">
        <v>8</v>
      </c>
      <c r="S29" s="1484">
        <f t="shared" si="12"/>
        <v>100</v>
      </c>
      <c r="T29" s="1483" t="s">
        <v>8</v>
      </c>
      <c r="U29" s="1484">
        <f t="shared" si="13"/>
        <v>100</v>
      </c>
      <c r="V29" s="1483" t="s">
        <v>8</v>
      </c>
      <c r="W29" s="1484">
        <f t="shared" si="14"/>
        <v>100</v>
      </c>
      <c r="X29" s="1477"/>
      <c r="Y29" s="3522"/>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522"/>
      <c r="Q30" s="1482">
        <f t="shared" si="11"/>
        <v>111</v>
      </c>
      <c r="R30" s="1483" t="s">
        <v>8</v>
      </c>
      <c r="S30" s="1484">
        <f t="shared" si="12"/>
        <v>100</v>
      </c>
      <c r="T30" s="1483" t="s">
        <v>8</v>
      </c>
      <c r="U30" s="1484">
        <f t="shared" si="13"/>
        <v>100</v>
      </c>
      <c r="V30" s="1483" t="s">
        <v>8</v>
      </c>
      <c r="W30" s="1484">
        <f t="shared" si="14"/>
        <v>100</v>
      </c>
      <c r="X30" s="1477"/>
      <c r="Y30" s="3522"/>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522"/>
      <c r="Q31" s="1482">
        <f t="shared" si="11"/>
        <v>111</v>
      </c>
      <c r="R31" s="1483" t="s">
        <v>8</v>
      </c>
      <c r="S31" s="1484">
        <f t="shared" si="12"/>
        <v>100</v>
      </c>
      <c r="T31" s="1483" t="s">
        <v>8</v>
      </c>
      <c r="U31" s="1484">
        <f t="shared" si="13"/>
        <v>100</v>
      </c>
      <c r="V31" s="1483" t="s">
        <v>8</v>
      </c>
      <c r="W31" s="1484">
        <f t="shared" si="14"/>
        <v>100</v>
      </c>
      <c r="X31" s="1477"/>
      <c r="Y31" s="3522"/>
      <c r="Z31" s="1485">
        <f t="shared" si="15"/>
        <v>111</v>
      </c>
      <c r="AA31" s="1486">
        <f t="shared" si="3"/>
        <v>1</v>
      </c>
      <c r="AB31" s="1486">
        <f t="shared" si="4"/>
        <v>1</v>
      </c>
      <c r="AC31" s="1486">
        <f t="shared" si="5"/>
        <v>1</v>
      </c>
    </row>
    <row r="32" spans="1:29" ht="15">
      <c r="A32" s="2595" t="s">
        <v>2714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523" t="s">
        <v>533</v>
      </c>
      <c r="Q32" s="1482" t="str">
        <f t="shared" si="11"/>
        <v>商业类型</v>
      </c>
      <c r="R32" s="1483" t="s">
        <v>8</v>
      </c>
      <c r="S32" s="1484">
        <f t="shared" si="12"/>
        <v>100</v>
      </c>
      <c r="T32" s="1483" t="s">
        <v>8</v>
      </c>
      <c r="U32" s="1484">
        <f t="shared" si="13"/>
        <v>100</v>
      </c>
      <c r="V32" s="1483" t="s">
        <v>8</v>
      </c>
      <c r="W32" s="1484">
        <f t="shared" si="14"/>
        <v>100</v>
      </c>
      <c r="X32" s="1477"/>
      <c r="Y32" s="3524"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524"/>
      <c r="Q33" s="1511" t="str">
        <f t="shared" si="11"/>
        <v>项目建筑规模</v>
      </c>
      <c r="R33" s="1487" t="s">
        <v>8</v>
      </c>
      <c r="S33" s="1488" t="e">
        <f t="shared" si="12"/>
        <v>#N/A</v>
      </c>
      <c r="T33" s="1487" t="s">
        <v>8</v>
      </c>
      <c r="U33" s="1488" t="e">
        <f t="shared" si="13"/>
        <v>#N/A</v>
      </c>
      <c r="V33" s="1487" t="s">
        <v>8</v>
      </c>
      <c r="W33" s="1488" t="e">
        <f t="shared" si="14"/>
        <v>#N/A</v>
      </c>
      <c r="X33" s="1489"/>
      <c r="Y33" s="3524"/>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524"/>
      <c r="Q34" s="1482" t="str">
        <f t="shared" si="11"/>
        <v>建筑结构</v>
      </c>
      <c r="R34" s="1483" t="s">
        <v>8</v>
      </c>
      <c r="S34" s="1484">
        <f t="shared" si="12"/>
        <v>100</v>
      </c>
      <c r="T34" s="1483" t="s">
        <v>8</v>
      </c>
      <c r="U34" s="1484">
        <f t="shared" si="13"/>
        <v>100</v>
      </c>
      <c r="V34" s="1483" t="s">
        <v>8</v>
      </c>
      <c r="W34" s="1484">
        <f t="shared" si="14"/>
        <v>100</v>
      </c>
      <c r="X34" s="1477"/>
      <c r="Y34" s="3524"/>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524"/>
      <c r="Q35" s="1482" t="str">
        <f t="shared" si="11"/>
        <v>公共部分装修</v>
      </c>
      <c r="R35" s="1483" t="s">
        <v>8</v>
      </c>
      <c r="S35" s="1484">
        <f t="shared" si="12"/>
        <v>100</v>
      </c>
      <c r="T35" s="1483" t="s">
        <v>8</v>
      </c>
      <c r="U35" s="1484">
        <f t="shared" si="13"/>
        <v>100</v>
      </c>
      <c r="V35" s="1483" t="s">
        <v>8</v>
      </c>
      <c r="W35" s="1484">
        <f t="shared" si="14"/>
        <v>100</v>
      </c>
      <c r="X35" s="1477"/>
      <c r="Y35" s="3524"/>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524"/>
      <c r="Q36" s="1482" t="str">
        <f t="shared" si="11"/>
        <v>成新度</v>
      </c>
      <c r="R36" s="1483" t="s">
        <v>8</v>
      </c>
      <c r="S36" s="1484" t="e">
        <f t="shared" si="12"/>
        <v>#N/A</v>
      </c>
      <c r="T36" s="1483" t="s">
        <v>8</v>
      </c>
      <c r="U36" s="1484" t="e">
        <f t="shared" si="13"/>
        <v>#N/A</v>
      </c>
      <c r="V36" s="1483" t="s">
        <v>8</v>
      </c>
      <c r="W36" s="1484" t="e">
        <f t="shared" si="14"/>
        <v>#N/A</v>
      </c>
      <c r="X36" s="1477"/>
      <c r="Y36" s="3524"/>
      <c r="Z36" s="1485" t="str">
        <f t="shared" si="15"/>
        <v>成新度</v>
      </c>
      <c r="AA36" s="1486" t="e">
        <f t="shared" si="3"/>
        <v>#N/A</v>
      </c>
      <c r="AB36" s="1486" t="e">
        <f t="shared" si="4"/>
        <v>#N/A</v>
      </c>
      <c r="AC36" s="1486" t="e">
        <f t="shared" si="5"/>
        <v>#N/A</v>
      </c>
    </row>
    <row r="37" spans="1:29" s="1186" customFormat="1" ht="15">
      <c r="A37" s="577"/>
      <c r="B37" s="1784" t="s">
        <v>2526</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524"/>
      <c r="Q37" s="1117" t="str">
        <f t="shared" si="11"/>
        <v>市政基础设施</v>
      </c>
      <c r="R37" s="1478" t="s">
        <v>8</v>
      </c>
      <c r="S37" s="1479">
        <f t="shared" si="12"/>
        <v>100</v>
      </c>
      <c r="T37" s="1478" t="s">
        <v>8</v>
      </c>
      <c r="U37" s="1479">
        <f t="shared" si="13"/>
        <v>100</v>
      </c>
      <c r="V37" s="1478" t="s">
        <v>8</v>
      </c>
      <c r="W37" s="1479">
        <f t="shared" si="14"/>
        <v>100</v>
      </c>
      <c r="X37" s="1480"/>
      <c r="Y37" s="3524"/>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524" t="s">
        <v>749</v>
      </c>
      <c r="Q38" s="1482" t="str">
        <f t="shared" si="11"/>
        <v>业态</v>
      </c>
      <c r="R38" s="1483" t="s">
        <v>8</v>
      </c>
      <c r="S38" s="1484">
        <f t="shared" si="12"/>
        <v>100</v>
      </c>
      <c r="T38" s="1483" t="s">
        <v>8</v>
      </c>
      <c r="U38" s="1484">
        <f t="shared" si="13"/>
        <v>100</v>
      </c>
      <c r="V38" s="1483" t="s">
        <v>8</v>
      </c>
      <c r="W38" s="1484">
        <f t="shared" si="14"/>
        <v>100</v>
      </c>
      <c r="X38" s="1477"/>
      <c r="Y38" s="3524"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24"/>
      <c r="Q39" s="1482" t="str">
        <f t="shared" si="11"/>
        <v>层高</v>
      </c>
      <c r="R39" s="1483" t="s">
        <v>8</v>
      </c>
      <c r="S39" s="1484">
        <f t="shared" si="12"/>
        <v>100</v>
      </c>
      <c r="T39" s="1483" t="s">
        <v>8</v>
      </c>
      <c r="U39" s="1484">
        <f t="shared" si="13"/>
        <v>100</v>
      </c>
      <c r="V39" s="1483" t="s">
        <v>8</v>
      </c>
      <c r="W39" s="1484">
        <f t="shared" si="14"/>
        <v>100</v>
      </c>
      <c r="X39" s="1477"/>
      <c r="Y39" s="3524"/>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524"/>
      <c r="Q40" s="1482" t="str">
        <f t="shared" si="11"/>
        <v>单套建筑面积</v>
      </c>
      <c r="R40" s="1483" t="s">
        <v>8</v>
      </c>
      <c r="S40" s="1484">
        <f t="shared" si="12"/>
        <v>100</v>
      </c>
      <c r="T40" s="1483" t="s">
        <v>8</v>
      </c>
      <c r="U40" s="1484">
        <f t="shared" si="13"/>
        <v>100</v>
      </c>
      <c r="V40" s="1483" t="s">
        <v>8</v>
      </c>
      <c r="W40" s="1484">
        <f t="shared" si="14"/>
        <v>100</v>
      </c>
      <c r="X40" s="1477"/>
      <c r="Y40" s="3524"/>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524"/>
      <c r="Q41" s="1511" t="str">
        <f t="shared" si="11"/>
        <v>进深比</v>
      </c>
      <c r="R41" s="1487" t="s">
        <v>8</v>
      </c>
      <c r="S41" s="1488">
        <f t="shared" si="12"/>
        <v>100</v>
      </c>
      <c r="T41" s="1487" t="s">
        <v>8</v>
      </c>
      <c r="U41" s="1488">
        <f t="shared" si="13"/>
        <v>100</v>
      </c>
      <c r="V41" s="1487" t="s">
        <v>8</v>
      </c>
      <c r="W41" s="1488">
        <f t="shared" si="14"/>
        <v>100</v>
      </c>
      <c r="X41" s="1489"/>
      <c r="Y41" s="3524"/>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524"/>
      <c r="Q42" s="1482" t="str">
        <f t="shared" si="11"/>
        <v>内部装修</v>
      </c>
      <c r="R42" s="1483" t="s">
        <v>8</v>
      </c>
      <c r="S42" s="1484">
        <f t="shared" si="12"/>
        <v>100</v>
      </c>
      <c r="T42" s="1483" t="s">
        <v>8</v>
      </c>
      <c r="U42" s="1484">
        <f t="shared" si="13"/>
        <v>100</v>
      </c>
      <c r="V42" s="1483" t="s">
        <v>8</v>
      </c>
      <c r="W42" s="1484">
        <f t="shared" si="14"/>
        <v>100</v>
      </c>
      <c r="X42" s="1477"/>
      <c r="Y42" s="3524"/>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524"/>
      <c r="Q43" s="1482" t="str">
        <f t="shared" si="11"/>
        <v>内部装修维护情况</v>
      </c>
      <c r="R43" s="1483" t="s">
        <v>8</v>
      </c>
      <c r="S43" s="1484">
        <f t="shared" si="12"/>
        <v>100</v>
      </c>
      <c r="T43" s="1483" t="s">
        <v>8</v>
      </c>
      <c r="U43" s="1484">
        <f t="shared" si="13"/>
        <v>100</v>
      </c>
      <c r="V43" s="1483" t="s">
        <v>8</v>
      </c>
      <c r="W43" s="1484">
        <f t="shared" si="14"/>
        <v>100</v>
      </c>
      <c r="X43" s="1477"/>
      <c r="Y43" s="3524"/>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524"/>
      <c r="Q44" s="1117">
        <f t="shared" si="11"/>
        <v>111</v>
      </c>
      <c r="R44" s="1478" t="s">
        <v>8</v>
      </c>
      <c r="S44" s="1479">
        <f t="shared" si="12"/>
        <v>100</v>
      </c>
      <c r="T44" s="1478" t="s">
        <v>8</v>
      </c>
      <c r="U44" s="1479">
        <f t="shared" si="13"/>
        <v>100</v>
      </c>
      <c r="V44" s="1478" t="s">
        <v>8</v>
      </c>
      <c r="W44" s="1479">
        <f t="shared" si="14"/>
        <v>100</v>
      </c>
      <c r="X44" s="1480"/>
      <c r="Y44" s="3524"/>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524"/>
      <c r="Q45" s="1482">
        <f t="shared" si="11"/>
        <v>111</v>
      </c>
      <c r="R45" s="1483" t="s">
        <v>8</v>
      </c>
      <c r="S45" s="1484">
        <f t="shared" si="12"/>
        <v>100</v>
      </c>
      <c r="T45" s="1483" t="s">
        <v>8</v>
      </c>
      <c r="U45" s="1484">
        <f t="shared" si="13"/>
        <v>100</v>
      </c>
      <c r="V45" s="1483" t="s">
        <v>8</v>
      </c>
      <c r="W45" s="1484">
        <f t="shared" si="14"/>
        <v>100</v>
      </c>
      <c r="X45" s="1477"/>
      <c r="Y45" s="3524"/>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628"/>
      <c r="Q46" s="1482">
        <f t="shared" si="11"/>
        <v>111</v>
      </c>
      <c r="R46" s="1483" t="s">
        <v>8</v>
      </c>
      <c r="S46" s="1484">
        <f t="shared" si="12"/>
        <v>100</v>
      </c>
      <c r="T46" s="1483" t="s">
        <v>8</v>
      </c>
      <c r="U46" s="1484">
        <f t="shared" si="13"/>
        <v>100</v>
      </c>
      <c r="V46" s="1483" t="s">
        <v>8</v>
      </c>
      <c r="W46" s="1484">
        <f t="shared" si="14"/>
        <v>100</v>
      </c>
      <c r="X46" s="1477"/>
      <c r="Y46" s="3628"/>
      <c r="Z46" s="1485">
        <f t="shared" si="15"/>
        <v>111</v>
      </c>
      <c r="AA46" s="1486">
        <f t="shared" si="3"/>
        <v>1</v>
      </c>
      <c r="AB46" s="1486">
        <f t="shared" si="4"/>
        <v>1</v>
      </c>
      <c r="AC46" s="1486">
        <f t="shared" si="5"/>
        <v>1</v>
      </c>
    </row>
    <row r="47" spans="1:29" ht="15">
      <c r="A47" s="584" t="s">
        <v>719</v>
      </c>
      <c r="B47" s="859"/>
      <c r="C47" s="2441" t="s">
        <v>1</v>
      </c>
      <c r="D47" s="2442"/>
      <c r="E47" s="2443"/>
      <c r="F47" s="2444"/>
      <c r="G47" s="2445"/>
      <c r="H47" s="2446"/>
      <c r="I47" s="2443"/>
      <c r="J47" s="2446"/>
      <c r="K47" s="1516"/>
      <c r="L47" s="2000"/>
      <c r="M47" s="2001"/>
      <c r="N47" s="1990"/>
      <c r="O47" s="2001"/>
      <c r="P47" s="3487" t="str">
        <f>A47</f>
        <v>成交单价（元/平方米）</v>
      </c>
      <c r="Q47" s="3487"/>
      <c r="R47" s="3627">
        <f>E47</f>
        <v>0</v>
      </c>
      <c r="S47" s="3627"/>
      <c r="T47" s="3627">
        <f>G47</f>
        <v>0</v>
      </c>
      <c r="U47" s="3627"/>
      <c r="V47" s="3627">
        <f>I47</f>
        <v>0</v>
      </c>
      <c r="W47" s="3627"/>
      <c r="X47" s="1472"/>
      <c r="Y47" s="1491"/>
      <c r="Z47" s="1472"/>
      <c r="AA47" s="1472"/>
      <c r="AB47" s="1472"/>
      <c r="AC47" s="1472"/>
    </row>
    <row r="48" spans="1:29" ht="15.75" thickBot="1">
      <c r="A48" s="592" t="s">
        <v>2719</v>
      </c>
      <c r="B48" s="860"/>
      <c r="C48" s="2447" t="e">
        <f>R49</f>
        <v>#DIV/0!</v>
      </c>
      <c r="D48" s="2982" t="s">
        <v>2946</v>
      </c>
      <c r="E48" s="2448" t="e">
        <f>R48</f>
        <v>#DIV/0!</v>
      </c>
      <c r="F48" s="2983"/>
      <c r="G48" s="2447" t="e">
        <f>T48</f>
        <v>#DIV/0!</v>
      </c>
      <c r="H48" s="2983"/>
      <c r="I48" s="2448" t="e">
        <f>V48</f>
        <v>#DIV/0!</v>
      </c>
      <c r="J48" s="2983"/>
      <c r="K48" s="2991">
        <f>F48+H48+J48</f>
        <v>0</v>
      </c>
      <c r="L48" s="2000"/>
      <c r="M48" s="2001"/>
      <c r="N48" s="1990"/>
      <c r="O48" s="2001"/>
      <c r="P48" s="3487" t="str">
        <f>A48</f>
        <v>比较价格（元/平方米）</v>
      </c>
      <c r="Q48" s="3487"/>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72"/>
      <c r="Y48" s="1472"/>
      <c r="Z48" s="1472"/>
      <c r="AA48" s="1472"/>
      <c r="AB48" s="1472"/>
      <c r="AC48" s="1472"/>
    </row>
    <row r="49" spans="1:29" ht="15.75" thickBot="1">
      <c r="A49" s="596" t="s">
        <v>2879</v>
      </c>
      <c r="B49" s="597"/>
      <c r="C49" s="2449" t="e">
        <f>R49</f>
        <v>#DIV/0!</v>
      </c>
      <c r="D49" s="2449"/>
      <c r="E49" s="2449"/>
      <c r="F49" s="2449"/>
      <c r="G49" s="2449"/>
      <c r="H49" s="2449"/>
      <c r="I49" s="2449"/>
      <c r="J49" s="2449"/>
      <c r="K49" s="1517"/>
      <c r="L49" s="2000"/>
      <c r="M49" s="2001"/>
      <c r="N49" s="1990"/>
      <c r="O49" s="2001"/>
      <c r="P49" s="3484" t="str">
        <f>A49</f>
        <v>估价对象XX用房的比较价格（楼面单价，元/平方米）</v>
      </c>
      <c r="Q49" s="3485"/>
      <c r="R49" s="3626" t="e">
        <f>IF(F1="售价",ROUND(IF(D48="简单平均",AVERAGE(R48:V48),R48*F48+T48*H48+V48*J48),0),ROUND(IF(D48="简单平均",AVERAGE(R48:V48),R48*F48+T48*H48+V48*J48),1))</f>
        <v>#DIV/0!</v>
      </c>
      <c r="S49" s="3626"/>
      <c r="T49" s="3626"/>
      <c r="U49" s="3626"/>
      <c r="V49" s="3626"/>
      <c r="W49" s="3626"/>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0" t="str">
        <f>YEAR(C7)&amp;"-"&amp;MONTH(C7)</f>
        <v>2022-1</v>
      </c>
      <c r="D58" s="2492">
        <f>EDATE(C58,-1)</f>
        <v>44531</v>
      </c>
      <c r="E58" s="2492">
        <f t="shared" ref="E58:O58" si="16">EDATE(D58,-1)</f>
        <v>44501</v>
      </c>
      <c r="F58" s="2492">
        <f t="shared" si="16"/>
        <v>44470</v>
      </c>
      <c r="G58" s="2492">
        <f t="shared" si="16"/>
        <v>44440</v>
      </c>
      <c r="H58" s="2492">
        <f t="shared" si="16"/>
        <v>44409</v>
      </c>
      <c r="I58" s="2492">
        <f t="shared" si="16"/>
        <v>44378</v>
      </c>
      <c r="J58" s="2492">
        <f t="shared" si="16"/>
        <v>44348</v>
      </c>
      <c r="K58" s="2492">
        <f t="shared" si="16"/>
        <v>44317</v>
      </c>
      <c r="L58" s="2492">
        <f t="shared" si="16"/>
        <v>44287</v>
      </c>
      <c r="M58" s="2492">
        <f t="shared" si="16"/>
        <v>44256</v>
      </c>
      <c r="N58" s="2492">
        <f t="shared" si="16"/>
        <v>44228</v>
      </c>
      <c r="O58" s="2492">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2517</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95"/>
      <c r="G1" s="1507" t="s">
        <v>704</v>
      </c>
      <c r="H1" s="483"/>
      <c r="I1" s="483"/>
      <c r="J1" s="483"/>
      <c r="K1" s="484"/>
      <c r="L1" s="3178"/>
      <c r="M1" s="3179"/>
      <c r="N1" s="3179"/>
      <c r="O1" s="3179"/>
      <c r="P1" s="3242"/>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42"/>
      <c r="Q2" s="1988"/>
      <c r="R2" s="1988"/>
      <c r="S2" s="1988"/>
      <c r="T2" s="1988"/>
      <c r="U2" s="1988"/>
      <c r="V2" s="1988"/>
      <c r="W2" s="1988"/>
      <c r="X2" s="1988"/>
      <c r="Y2" s="1988"/>
      <c r="Z2" s="1988"/>
      <c r="AA2" s="1988"/>
      <c r="AB2" s="1988"/>
      <c r="AC2" s="3180"/>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42"/>
      <c r="Q3" s="1988"/>
      <c r="R3" s="1988"/>
      <c r="S3" s="1988"/>
      <c r="T3" s="1988"/>
      <c r="U3" s="1988"/>
      <c r="V3" s="1988"/>
      <c r="W3" s="1988"/>
      <c r="X3" s="1988"/>
      <c r="Y3" s="1988"/>
      <c r="Z3" s="1988"/>
      <c r="AA3" s="1988"/>
      <c r="AB3" s="1988"/>
      <c r="AC3" s="3180"/>
    </row>
    <row r="4" spans="1:29" ht="15">
      <c r="A4" s="489" t="s">
        <v>504</v>
      </c>
      <c r="B4" s="490"/>
      <c r="C4" s="3493" t="s">
        <v>505</v>
      </c>
      <c r="D4" s="3494"/>
      <c r="E4" s="3549" t="s">
        <v>506</v>
      </c>
      <c r="F4" s="3550"/>
      <c r="G4" s="3493" t="s">
        <v>507</v>
      </c>
      <c r="H4" s="3494"/>
      <c r="I4" s="3493" t="s">
        <v>508</v>
      </c>
      <c r="J4" s="3494"/>
      <c r="K4" s="491" t="s">
        <v>509</v>
      </c>
      <c r="L4" s="1989"/>
      <c r="M4" s="1990"/>
      <c r="N4" s="1990"/>
      <c r="O4" s="1990"/>
      <c r="P4" s="3630" t="s">
        <v>510</v>
      </c>
      <c r="Q4" s="3496"/>
      <c r="R4" s="3501" t="s">
        <v>506</v>
      </c>
      <c r="S4" s="3502"/>
      <c r="T4" s="3501" t="s">
        <v>507</v>
      </c>
      <c r="U4" s="3502"/>
      <c r="V4" s="3488" t="s">
        <v>508</v>
      </c>
      <c r="W4" s="3488"/>
      <c r="X4" s="1477"/>
      <c r="Y4" s="3501" t="s">
        <v>510</v>
      </c>
      <c r="Z4" s="3502"/>
      <c r="AA4" s="3490" t="s">
        <v>506</v>
      </c>
      <c r="AB4" s="3490" t="s">
        <v>507</v>
      </c>
      <c r="AC4" s="3490" t="s">
        <v>508</v>
      </c>
    </row>
    <row r="5" spans="1:29" ht="15">
      <c r="A5" s="492"/>
      <c r="B5" s="493"/>
      <c r="C5" s="3509" t="s">
        <v>2873</v>
      </c>
      <c r="D5" s="3510"/>
      <c r="E5" s="3551" t="s">
        <v>2874</v>
      </c>
      <c r="F5" s="3552"/>
      <c r="G5" s="3509" t="s">
        <v>2875</v>
      </c>
      <c r="H5" s="3510"/>
      <c r="I5" s="3509" t="s">
        <v>2876</v>
      </c>
      <c r="J5" s="3510"/>
      <c r="K5" s="491"/>
      <c r="L5" s="1989"/>
      <c r="M5" s="1990"/>
      <c r="N5" s="1990"/>
      <c r="O5" s="1990"/>
      <c r="P5" s="3631"/>
      <c r="Q5" s="3498"/>
      <c r="R5" s="3503"/>
      <c r="S5" s="3504"/>
      <c r="T5" s="3503"/>
      <c r="U5" s="3504"/>
      <c r="V5" s="3488"/>
      <c r="W5" s="3488"/>
      <c r="X5" s="1477"/>
      <c r="Y5" s="3503"/>
      <c r="Z5" s="3504"/>
      <c r="AA5" s="3491"/>
      <c r="AB5" s="3491"/>
      <c r="AC5" s="3491"/>
    </row>
    <row r="6" spans="1:29" ht="15.75" thickBot="1">
      <c r="A6" s="494"/>
      <c r="B6" s="495"/>
      <c r="C6" s="3507" t="s">
        <v>2877</v>
      </c>
      <c r="D6" s="3508"/>
      <c r="E6" s="3547" t="s">
        <v>2877</v>
      </c>
      <c r="F6" s="3548"/>
      <c r="G6" s="3507" t="s">
        <v>2877</v>
      </c>
      <c r="H6" s="3508"/>
      <c r="I6" s="3507" t="s">
        <v>2877</v>
      </c>
      <c r="J6" s="3508"/>
      <c r="K6" s="491" t="s">
        <v>511</v>
      </c>
      <c r="L6" s="1989"/>
      <c r="M6" s="1990"/>
      <c r="N6" s="1990"/>
      <c r="O6" s="1990"/>
      <c r="P6" s="3632"/>
      <c r="Q6" s="3500"/>
      <c r="R6" s="3503"/>
      <c r="S6" s="3504"/>
      <c r="T6" s="3505"/>
      <c r="U6" s="3506"/>
      <c r="V6" s="3488"/>
      <c r="W6" s="3488"/>
      <c r="X6" s="1477"/>
      <c r="Y6" s="3505"/>
      <c r="Z6" s="3506"/>
      <c r="AA6" s="3492"/>
      <c r="AB6" s="3492"/>
      <c r="AC6" s="3492"/>
    </row>
    <row r="7" spans="1:29" s="1186" customFormat="1" ht="15.75" thickBot="1">
      <c r="A7" s="2600"/>
      <c r="B7" s="2607" t="s">
        <v>512</v>
      </c>
      <c r="C7" s="496">
        <f>'数据-取费表'!B2</f>
        <v>44574</v>
      </c>
      <c r="D7" s="497">
        <v>100</v>
      </c>
      <c r="E7" s="498"/>
      <c r="F7" s="499">
        <f>SUMIF(59:59,YEAR(E7)&amp;"-"&amp;MONTH(E7),60:60)</f>
        <v>0</v>
      </c>
      <c r="G7" s="498"/>
      <c r="H7" s="497">
        <f>SUMIF(59:59,YEAR(G7)&amp;"-"&amp;MONTH(G7),60:60)</f>
        <v>0</v>
      </c>
      <c r="I7" s="498"/>
      <c r="J7" s="497">
        <f>SUMIF(59:59,YEAR(I7)&amp;"-"&amp;MONTH(I7),60:60)</f>
        <v>0</v>
      </c>
      <c r="K7" s="501"/>
      <c r="L7" s="1991"/>
      <c r="M7" s="1992"/>
      <c r="N7" s="1992"/>
      <c r="O7" s="1992"/>
      <c r="P7" s="3520" t="s">
        <v>513</v>
      </c>
      <c r="Q7" s="3520"/>
      <c r="R7" s="1478" t="s">
        <v>8</v>
      </c>
      <c r="S7" s="1479">
        <f t="shared" ref="S7:S15" si="0">F7</f>
        <v>0</v>
      </c>
      <c r="T7" s="1478" t="s">
        <v>8</v>
      </c>
      <c r="U7" s="1479">
        <f t="shared" ref="U7:U15" si="1">H7</f>
        <v>0</v>
      </c>
      <c r="V7" s="1478" t="s">
        <v>8</v>
      </c>
      <c r="W7" s="1479">
        <f t="shared" ref="W7:W15" si="2">J7</f>
        <v>0</v>
      </c>
      <c r="X7" s="1480"/>
      <c r="Y7" s="3518" t="s">
        <v>513</v>
      </c>
      <c r="Z7" s="3519"/>
      <c r="AA7" s="1481" t="e">
        <f>D7/F7</f>
        <v>#DIV/0!</v>
      </c>
      <c r="AB7" s="1481" t="e">
        <f>D7/H7</f>
        <v>#DIV/0!</v>
      </c>
      <c r="AC7" s="1481" t="e">
        <f>D7/J7</f>
        <v>#DIV/0!</v>
      </c>
    </row>
    <row r="8" spans="1:29" s="1186" customFormat="1" ht="15.75" thickBot="1">
      <c r="A8" s="2601"/>
      <c r="B8" s="2608"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520" t="s">
        <v>516</v>
      </c>
      <c r="Q8" s="3519"/>
      <c r="R8" s="1478" t="s">
        <v>8</v>
      </c>
      <c r="S8" s="1479">
        <f t="shared" si="0"/>
        <v>0</v>
      </c>
      <c r="T8" s="1478" t="s">
        <v>8</v>
      </c>
      <c r="U8" s="1479">
        <f t="shared" si="1"/>
        <v>0</v>
      </c>
      <c r="V8" s="1478" t="s">
        <v>8</v>
      </c>
      <c r="W8" s="1479">
        <f t="shared" si="2"/>
        <v>0</v>
      </c>
      <c r="X8" s="1480"/>
      <c r="Y8" s="3518" t="s">
        <v>516</v>
      </c>
      <c r="Z8" s="3519"/>
      <c r="AA8" s="1481" t="e">
        <f t="shared" ref="AA8:AA47" si="3">D8/F8</f>
        <v>#DIV/0!</v>
      </c>
      <c r="AB8" s="1481" t="e">
        <f t="shared" ref="AB8:AB47" si="4">D8/H8</f>
        <v>#DIV/0!</v>
      </c>
      <c r="AC8" s="1481" t="e">
        <f t="shared" ref="AC8:AC47" si="5">D8/J8</f>
        <v>#DIV/0!</v>
      </c>
    </row>
    <row r="9" spans="1:29" s="1186" customFormat="1" ht="15">
      <c r="A9" s="2602"/>
      <c r="B9" s="2609" t="s">
        <v>2715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487" t="s">
        <v>518</v>
      </c>
      <c r="Q9" s="1117" t="str">
        <f t="shared" ref="Q9:Q15" si="6">B9</f>
        <v>用途</v>
      </c>
      <c r="R9" s="1478" t="s">
        <v>8</v>
      </c>
      <c r="S9" s="1479">
        <f t="shared" si="0"/>
        <v>100</v>
      </c>
      <c r="T9" s="1478" t="s">
        <v>8</v>
      </c>
      <c r="U9" s="1479">
        <f t="shared" si="1"/>
        <v>100</v>
      </c>
      <c r="V9" s="1478" t="s">
        <v>8</v>
      </c>
      <c r="W9" s="1479">
        <f t="shared" si="2"/>
        <v>100</v>
      </c>
      <c r="X9" s="1480"/>
      <c r="Y9" s="3433"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487"/>
      <c r="Q10" s="1117" t="str">
        <f t="shared" si="6"/>
        <v>土地使用年限（年）</v>
      </c>
      <c r="R10" s="1478" t="s">
        <v>8</v>
      </c>
      <c r="S10" s="1479">
        <f t="shared" si="0"/>
        <v>100</v>
      </c>
      <c r="T10" s="1478" t="s">
        <v>8</v>
      </c>
      <c r="U10" s="1479">
        <f t="shared" si="1"/>
        <v>100</v>
      </c>
      <c r="V10" s="1478" t="s">
        <v>8</v>
      </c>
      <c r="W10" s="1479">
        <f t="shared" si="2"/>
        <v>100</v>
      </c>
      <c r="X10" s="1480"/>
      <c r="Y10" s="3433"/>
      <c r="Z10" s="1116" t="str">
        <f t="shared" si="7"/>
        <v>土地使用年限（年）</v>
      </c>
      <c r="AA10" s="1481">
        <f t="shared" si="3"/>
        <v>1</v>
      </c>
      <c r="AB10" s="1481">
        <f t="shared" si="4"/>
        <v>1</v>
      </c>
      <c r="AC10" s="1481">
        <f t="shared" si="5"/>
        <v>1</v>
      </c>
    </row>
    <row r="11" spans="1:29" ht="15">
      <c r="A11" s="2604"/>
      <c r="B11" s="2608" t="s">
        <v>2717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487"/>
      <c r="Q11" s="1117" t="str">
        <f t="shared" si="6"/>
        <v>容积率</v>
      </c>
      <c r="R11" s="1478" t="s">
        <v>8</v>
      </c>
      <c r="S11" s="1479" t="e">
        <f t="shared" si="0"/>
        <v>#N/A</v>
      </c>
      <c r="T11" s="1478" t="s">
        <v>8</v>
      </c>
      <c r="U11" s="1479" t="e">
        <f t="shared" si="1"/>
        <v>#N/A</v>
      </c>
      <c r="V11" s="1478" t="s">
        <v>8</v>
      </c>
      <c r="W11" s="1479" t="e">
        <f t="shared" si="2"/>
        <v>#N/A</v>
      </c>
      <c r="X11" s="1480"/>
      <c r="Y11" s="3433"/>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487"/>
      <c r="Q12" s="1117">
        <f t="shared" si="6"/>
        <v>111</v>
      </c>
      <c r="R12" s="1478" t="s">
        <v>8</v>
      </c>
      <c r="S12" s="1479">
        <f t="shared" si="0"/>
        <v>100</v>
      </c>
      <c r="T12" s="1478" t="s">
        <v>8</v>
      </c>
      <c r="U12" s="1479">
        <f t="shared" si="1"/>
        <v>100</v>
      </c>
      <c r="V12" s="1478" t="s">
        <v>8</v>
      </c>
      <c r="W12" s="1479">
        <f t="shared" si="2"/>
        <v>100</v>
      </c>
      <c r="X12" s="1480"/>
      <c r="Y12" s="3433"/>
      <c r="Z12" s="1116">
        <f t="shared" si="7"/>
        <v>111</v>
      </c>
      <c r="AA12" s="1481">
        <f>D12/F12</f>
        <v>1</v>
      </c>
      <c r="AB12" s="1481">
        <f>D12/H12</f>
        <v>1</v>
      </c>
      <c r="AC12" s="1481">
        <f>D12/J12</f>
        <v>1</v>
      </c>
    </row>
    <row r="13" spans="1:29" ht="15">
      <c r="A13" s="2605"/>
      <c r="B13" s="2611">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487"/>
      <c r="Q13" s="1117">
        <f t="shared" si="6"/>
        <v>111</v>
      </c>
      <c r="R13" s="1478" t="s">
        <v>8</v>
      </c>
      <c r="S13" s="1479">
        <f t="shared" si="0"/>
        <v>100</v>
      </c>
      <c r="T13" s="1478" t="s">
        <v>8</v>
      </c>
      <c r="U13" s="1479">
        <f t="shared" si="1"/>
        <v>100</v>
      </c>
      <c r="V13" s="1478" t="s">
        <v>8</v>
      </c>
      <c r="W13" s="1479">
        <f t="shared" si="2"/>
        <v>100</v>
      </c>
      <c r="X13" s="1480"/>
      <c r="Y13" s="3433"/>
      <c r="Z13" s="1116">
        <f t="shared" si="7"/>
        <v>111</v>
      </c>
      <c r="AA13" s="1481">
        <f t="shared" si="3"/>
        <v>1</v>
      </c>
      <c r="AB13" s="1481">
        <f t="shared" si="4"/>
        <v>1</v>
      </c>
      <c r="AC13" s="1481">
        <f t="shared" si="5"/>
        <v>1</v>
      </c>
    </row>
    <row r="14" spans="1:29" ht="15.75" thickBot="1">
      <c r="A14" s="2606"/>
      <c r="B14" s="2612">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487"/>
      <c r="Q14" s="1117">
        <f t="shared" si="6"/>
        <v>111</v>
      </c>
      <c r="R14" s="1478" t="s">
        <v>8</v>
      </c>
      <c r="S14" s="1479">
        <f t="shared" si="0"/>
        <v>100</v>
      </c>
      <c r="T14" s="1478" t="s">
        <v>8</v>
      </c>
      <c r="U14" s="1479">
        <f t="shared" si="1"/>
        <v>100</v>
      </c>
      <c r="V14" s="1478" t="s">
        <v>8</v>
      </c>
      <c r="W14" s="1479">
        <f t="shared" si="2"/>
        <v>100</v>
      </c>
      <c r="X14" s="1480"/>
      <c r="Y14" s="3433"/>
      <c r="Z14" s="1116">
        <f t="shared" si="7"/>
        <v>111</v>
      </c>
      <c r="AA14" s="1481">
        <f t="shared" si="3"/>
        <v>1</v>
      </c>
      <c r="AB14" s="1481">
        <f t="shared" si="4"/>
        <v>1</v>
      </c>
      <c r="AC14" s="1481">
        <f t="shared" si="5"/>
        <v>1</v>
      </c>
    </row>
    <row r="15" spans="1:29" ht="71.25">
      <c r="A15" s="2598" t="s">
        <v>2713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521" t="s">
        <v>523</v>
      </c>
      <c r="Q15" s="1482" t="str">
        <f t="shared" si="6"/>
        <v>办公集聚程度</v>
      </c>
      <c r="R15" s="1483" t="s">
        <v>8</v>
      </c>
      <c r="S15" s="1484">
        <f t="shared" si="0"/>
        <v>100</v>
      </c>
      <c r="T15" s="1483" t="s">
        <v>8</v>
      </c>
      <c r="U15" s="1484">
        <f t="shared" si="1"/>
        <v>100</v>
      </c>
      <c r="V15" s="1483" t="s">
        <v>8</v>
      </c>
      <c r="W15" s="1484">
        <f t="shared" si="2"/>
        <v>100</v>
      </c>
      <c r="X15" s="1477"/>
      <c r="Y15" s="3521"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522"/>
      <c r="Q16" s="1482"/>
      <c r="R16" s="1483"/>
      <c r="S16" s="1484"/>
      <c r="T16" s="1483"/>
      <c r="U16" s="1484"/>
      <c r="V16" s="1483"/>
      <c r="W16" s="1484"/>
      <c r="X16" s="1477"/>
      <c r="Y16" s="3522"/>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522"/>
      <c r="Q17" s="1482" t="str">
        <f>B17</f>
        <v>交通便捷度</v>
      </c>
      <c r="R17" s="1483" t="s">
        <v>8</v>
      </c>
      <c r="S17" s="1484">
        <f>F17</f>
        <v>100</v>
      </c>
      <c r="T17" s="1483" t="s">
        <v>8</v>
      </c>
      <c r="U17" s="1484">
        <f>H17</f>
        <v>100</v>
      </c>
      <c r="V17" s="1483" t="s">
        <v>8</v>
      </c>
      <c r="W17" s="1484">
        <f>J17</f>
        <v>100</v>
      </c>
      <c r="X17" s="1477"/>
      <c r="Y17" s="3522"/>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522"/>
      <c r="Q18" s="1482"/>
      <c r="R18" s="1483"/>
      <c r="S18" s="1484"/>
      <c r="T18" s="1483"/>
      <c r="U18" s="1484"/>
      <c r="V18" s="1483"/>
      <c r="W18" s="1484"/>
      <c r="X18" s="1477"/>
      <c r="Y18" s="3522"/>
      <c r="Z18" s="1485"/>
      <c r="AA18" s="1486">
        <v>1</v>
      </c>
      <c r="AB18" s="1486">
        <v>1</v>
      </c>
      <c r="AC18" s="1486">
        <v>1</v>
      </c>
    </row>
    <row r="19" spans="1:29" ht="42.75">
      <c r="A19" s="509"/>
      <c r="B19" s="2418" t="s">
        <v>2507</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522"/>
      <c r="Q19" s="1482" t="str">
        <f>B19</f>
        <v>公共配套设施</v>
      </c>
      <c r="R19" s="1483" t="s">
        <v>8</v>
      </c>
      <c r="S19" s="1484">
        <f>F19</f>
        <v>100</v>
      </c>
      <c r="T19" s="1483" t="s">
        <v>8</v>
      </c>
      <c r="U19" s="1484">
        <f>H19</f>
        <v>100</v>
      </c>
      <c r="V19" s="1483" t="s">
        <v>8</v>
      </c>
      <c r="W19" s="1484">
        <f>J19</f>
        <v>100</v>
      </c>
      <c r="X19" s="1477"/>
      <c r="Y19" s="3522"/>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522"/>
      <c r="Q20" s="1482"/>
      <c r="R20" s="1483"/>
      <c r="S20" s="1484"/>
      <c r="T20" s="1483"/>
      <c r="U20" s="1484"/>
      <c r="V20" s="1483"/>
      <c r="W20" s="1484"/>
      <c r="X20" s="1477"/>
      <c r="Y20" s="3522"/>
      <c r="Z20" s="1485"/>
      <c r="AA20" s="1486">
        <v>1</v>
      </c>
      <c r="AB20" s="1486">
        <v>1</v>
      </c>
      <c r="AC20" s="1486">
        <v>1</v>
      </c>
    </row>
    <row r="21" spans="1:29" ht="28.5">
      <c r="A21" s="509"/>
      <c r="B21" s="2406" t="s">
        <v>2519</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522"/>
      <c r="Q21" s="2400" t="str">
        <f>B21</f>
        <v>基础设施水平</v>
      </c>
      <c r="R21" s="1483" t="s">
        <v>8</v>
      </c>
      <c r="S21" s="1484">
        <f>F21</f>
        <v>100</v>
      </c>
      <c r="T21" s="1483" t="s">
        <v>8</v>
      </c>
      <c r="U21" s="1484">
        <f>H21</f>
        <v>100</v>
      </c>
      <c r="V21" s="1483" t="s">
        <v>8</v>
      </c>
      <c r="W21" s="1484">
        <f>J21</f>
        <v>100</v>
      </c>
      <c r="X21" s="2402"/>
      <c r="Y21" s="3522"/>
      <c r="Z21" s="2401"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417"/>
      <c r="L22" s="1998"/>
      <c r="M22" s="1990"/>
      <c r="N22" s="1990"/>
      <c r="O22" s="1990"/>
      <c r="P22" s="3522"/>
      <c r="Q22" s="2400"/>
      <c r="R22" s="1483"/>
      <c r="S22" s="1484"/>
      <c r="T22" s="1483"/>
      <c r="U22" s="1484"/>
      <c r="V22" s="1483"/>
      <c r="W22" s="1484"/>
      <c r="X22" s="2402"/>
      <c r="Y22" s="3522"/>
      <c r="Z22" s="2401"/>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522"/>
      <c r="Q23" s="1482" t="str">
        <f>B23</f>
        <v>环境质量</v>
      </c>
      <c r="R23" s="1483" t="s">
        <v>8</v>
      </c>
      <c r="S23" s="1484">
        <f>F23</f>
        <v>100</v>
      </c>
      <c r="T23" s="1483" t="s">
        <v>8</v>
      </c>
      <c r="U23" s="1484">
        <f>H23</f>
        <v>100</v>
      </c>
      <c r="V23" s="1483" t="s">
        <v>8</v>
      </c>
      <c r="W23" s="1484">
        <f>J23</f>
        <v>100</v>
      </c>
      <c r="X23" s="1477"/>
      <c r="Y23" s="3522"/>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522"/>
      <c r="Q24" s="1482"/>
      <c r="R24" s="1483"/>
      <c r="S24" s="1484"/>
      <c r="T24" s="1483"/>
      <c r="U24" s="1484"/>
      <c r="V24" s="1483"/>
      <c r="W24" s="1484"/>
      <c r="X24" s="1477"/>
      <c r="Y24" s="3522"/>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522"/>
      <c r="Q25" s="1482" t="str">
        <f>B25</f>
        <v>毗邻道路的类型与等级</v>
      </c>
      <c r="R25" s="1483" t="s">
        <v>8</v>
      </c>
      <c r="S25" s="1484">
        <f>F25</f>
        <v>100</v>
      </c>
      <c r="T25" s="1483" t="s">
        <v>8</v>
      </c>
      <c r="U25" s="1484">
        <f>H25</f>
        <v>100</v>
      </c>
      <c r="V25" s="1483" t="s">
        <v>8</v>
      </c>
      <c r="W25" s="1484">
        <f>J25</f>
        <v>100</v>
      </c>
      <c r="X25" s="1477"/>
      <c r="Y25" s="3522"/>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522"/>
      <c r="Q26" s="1482"/>
      <c r="R26" s="1483"/>
      <c r="S26" s="1484"/>
      <c r="T26" s="1483"/>
      <c r="U26" s="1484"/>
      <c r="V26" s="1483"/>
      <c r="W26" s="1484"/>
      <c r="X26" s="1477"/>
      <c r="Y26" s="3522"/>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522"/>
      <c r="Q27" s="1482" t="str">
        <f t="shared" ref="Q27:Q47" si="11">B27</f>
        <v>楼层</v>
      </c>
      <c r="R27" s="1483" t="s">
        <v>8</v>
      </c>
      <c r="S27" s="1484">
        <f>F27</f>
        <v>100</v>
      </c>
      <c r="T27" s="1483" t="s">
        <v>8</v>
      </c>
      <c r="U27" s="1484">
        <f>H27</f>
        <v>100</v>
      </c>
      <c r="V27" s="1483" t="s">
        <v>8</v>
      </c>
      <c r="W27" s="1484">
        <f>J27</f>
        <v>100</v>
      </c>
      <c r="X27" s="1477"/>
      <c r="Y27" s="3522"/>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522"/>
      <c r="Q28" s="1117" t="str">
        <f t="shared" si="11"/>
        <v>朝向</v>
      </c>
      <c r="R28" s="1478" t="s">
        <v>8</v>
      </c>
      <c r="S28" s="1479">
        <f>F28</f>
        <v>100</v>
      </c>
      <c r="T28" s="1478" t="s">
        <v>8</v>
      </c>
      <c r="U28" s="1479">
        <f>H28</f>
        <v>100</v>
      </c>
      <c r="V28" s="1478" t="s">
        <v>8</v>
      </c>
      <c r="W28" s="1479">
        <f>J28</f>
        <v>100</v>
      </c>
      <c r="X28" s="1480"/>
      <c r="Y28" s="3522"/>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522"/>
      <c r="Q29" s="1482">
        <f t="shared" si="11"/>
        <v>111</v>
      </c>
      <c r="R29" s="1483" t="s">
        <v>8</v>
      </c>
      <c r="S29" s="1484">
        <f t="shared" ref="S29:S47" si="12">F29</f>
        <v>100</v>
      </c>
      <c r="T29" s="1483" t="s">
        <v>8</v>
      </c>
      <c r="U29" s="1484">
        <f t="shared" ref="U29:U47" si="13">H29</f>
        <v>100</v>
      </c>
      <c r="V29" s="1483" t="s">
        <v>8</v>
      </c>
      <c r="W29" s="1484">
        <f t="shared" ref="W29:W47" si="14">J29</f>
        <v>100</v>
      </c>
      <c r="X29" s="1477"/>
      <c r="Y29" s="3522"/>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522"/>
      <c r="Q30" s="1482">
        <f t="shared" si="11"/>
        <v>111</v>
      </c>
      <c r="R30" s="1483" t="s">
        <v>8</v>
      </c>
      <c r="S30" s="1484">
        <f t="shared" si="12"/>
        <v>100</v>
      </c>
      <c r="T30" s="1483" t="s">
        <v>8</v>
      </c>
      <c r="U30" s="1484">
        <f t="shared" si="13"/>
        <v>100</v>
      </c>
      <c r="V30" s="1483" t="s">
        <v>8</v>
      </c>
      <c r="W30" s="1484">
        <f t="shared" si="14"/>
        <v>100</v>
      </c>
      <c r="X30" s="1477"/>
      <c r="Y30" s="3522"/>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522"/>
      <c r="Q31" s="1482">
        <f t="shared" si="11"/>
        <v>111</v>
      </c>
      <c r="R31" s="1483" t="s">
        <v>8</v>
      </c>
      <c r="S31" s="1484">
        <f t="shared" si="12"/>
        <v>100</v>
      </c>
      <c r="T31" s="1483" t="s">
        <v>8</v>
      </c>
      <c r="U31" s="1484">
        <f t="shared" si="13"/>
        <v>100</v>
      </c>
      <c r="V31" s="1483" t="s">
        <v>8</v>
      </c>
      <c r="W31" s="1484">
        <f t="shared" si="14"/>
        <v>100</v>
      </c>
      <c r="X31" s="1477"/>
      <c r="Y31" s="3522"/>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522"/>
      <c r="Q32" s="1482">
        <f t="shared" si="11"/>
        <v>111</v>
      </c>
      <c r="R32" s="1483" t="s">
        <v>8</v>
      </c>
      <c r="S32" s="1484">
        <f t="shared" si="12"/>
        <v>100</v>
      </c>
      <c r="T32" s="1483" t="s">
        <v>8</v>
      </c>
      <c r="U32" s="1484">
        <f t="shared" si="13"/>
        <v>100</v>
      </c>
      <c r="V32" s="1483" t="s">
        <v>8</v>
      </c>
      <c r="W32" s="1484">
        <f t="shared" si="14"/>
        <v>100</v>
      </c>
      <c r="X32" s="1477"/>
      <c r="Y32" s="3522"/>
      <c r="Z32" s="1485">
        <f t="shared" si="15"/>
        <v>111</v>
      </c>
      <c r="AA32" s="1486">
        <f t="shared" si="3"/>
        <v>1</v>
      </c>
      <c r="AB32" s="1486">
        <f t="shared" si="4"/>
        <v>1</v>
      </c>
      <c r="AC32" s="1486">
        <f t="shared" si="5"/>
        <v>1</v>
      </c>
    </row>
    <row r="33" spans="1:29" ht="15">
      <c r="A33" s="2595" t="s">
        <v>2714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523" t="s">
        <v>533</v>
      </c>
      <c r="Q33" s="1482" t="str">
        <f t="shared" si="11"/>
        <v>建筑类型</v>
      </c>
      <c r="R33" s="1483" t="s">
        <v>8</v>
      </c>
      <c r="S33" s="1484">
        <f t="shared" si="12"/>
        <v>100</v>
      </c>
      <c r="T33" s="1483" t="s">
        <v>8</v>
      </c>
      <c r="U33" s="1484">
        <f t="shared" si="13"/>
        <v>100</v>
      </c>
      <c r="V33" s="1483" t="s">
        <v>8</v>
      </c>
      <c r="W33" s="1484">
        <f t="shared" si="14"/>
        <v>100</v>
      </c>
      <c r="X33" s="1477"/>
      <c r="Y33" s="3524"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524"/>
      <c r="Q34" s="1511" t="str">
        <f t="shared" si="11"/>
        <v>项目建筑规模</v>
      </c>
      <c r="R34" s="1487" t="s">
        <v>8</v>
      </c>
      <c r="S34" s="1488" t="e">
        <f t="shared" si="12"/>
        <v>#N/A</v>
      </c>
      <c r="T34" s="1487" t="s">
        <v>8</v>
      </c>
      <c r="U34" s="1488" t="e">
        <f t="shared" si="13"/>
        <v>#N/A</v>
      </c>
      <c r="V34" s="1487" t="s">
        <v>8</v>
      </c>
      <c r="W34" s="1488" t="e">
        <f t="shared" si="14"/>
        <v>#N/A</v>
      </c>
      <c r="X34" s="1489"/>
      <c r="Y34" s="3524"/>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524"/>
      <c r="Q35" s="1482" t="str">
        <f t="shared" si="11"/>
        <v>建筑结构</v>
      </c>
      <c r="R35" s="1483" t="s">
        <v>8</v>
      </c>
      <c r="S35" s="1484">
        <f t="shared" si="12"/>
        <v>100</v>
      </c>
      <c r="T35" s="1483" t="s">
        <v>8</v>
      </c>
      <c r="U35" s="1484">
        <f t="shared" si="13"/>
        <v>100</v>
      </c>
      <c r="V35" s="1483" t="s">
        <v>8</v>
      </c>
      <c r="W35" s="1484">
        <f t="shared" si="14"/>
        <v>100</v>
      </c>
      <c r="X35" s="1477"/>
      <c r="Y35" s="3524"/>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524"/>
      <c r="Q36" s="1482" t="str">
        <f t="shared" si="11"/>
        <v>公共部分装修</v>
      </c>
      <c r="R36" s="1483" t="s">
        <v>8</v>
      </c>
      <c r="S36" s="1484">
        <f t="shared" si="12"/>
        <v>100</v>
      </c>
      <c r="T36" s="1483" t="s">
        <v>8</v>
      </c>
      <c r="U36" s="1484">
        <f t="shared" si="13"/>
        <v>100</v>
      </c>
      <c r="V36" s="1483" t="s">
        <v>8</v>
      </c>
      <c r="W36" s="1484">
        <f t="shared" si="14"/>
        <v>100</v>
      </c>
      <c r="X36" s="1477"/>
      <c r="Y36" s="3524"/>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524"/>
      <c r="Q37" s="1482" t="str">
        <f t="shared" si="11"/>
        <v>成新度</v>
      </c>
      <c r="R37" s="1483" t="s">
        <v>8</v>
      </c>
      <c r="S37" s="1484" t="e">
        <f t="shared" si="12"/>
        <v>#N/A</v>
      </c>
      <c r="T37" s="1483" t="s">
        <v>8</v>
      </c>
      <c r="U37" s="1484" t="e">
        <f t="shared" si="13"/>
        <v>#N/A</v>
      </c>
      <c r="V37" s="1483" t="s">
        <v>8</v>
      </c>
      <c r="W37" s="1484" t="e">
        <f t="shared" si="14"/>
        <v>#N/A</v>
      </c>
      <c r="X37" s="1477"/>
      <c r="Y37" s="3524"/>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524"/>
      <c r="Q38" s="1117" t="str">
        <f t="shared" si="11"/>
        <v>写字楼等级</v>
      </c>
      <c r="R38" s="1478" t="s">
        <v>8</v>
      </c>
      <c r="S38" s="1479">
        <f t="shared" si="12"/>
        <v>100</v>
      </c>
      <c r="T38" s="1478" t="s">
        <v>8</v>
      </c>
      <c r="U38" s="1479">
        <f t="shared" si="13"/>
        <v>100</v>
      </c>
      <c r="V38" s="1478" t="s">
        <v>8</v>
      </c>
      <c r="W38" s="1479">
        <f t="shared" si="14"/>
        <v>100</v>
      </c>
      <c r="X38" s="1480"/>
      <c r="Y38" s="3524"/>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524" t="s">
        <v>533</v>
      </c>
      <c r="Q39" s="1482" t="str">
        <f t="shared" si="11"/>
        <v>物业管理</v>
      </c>
      <c r="R39" s="1483" t="s">
        <v>8</v>
      </c>
      <c r="S39" s="1484">
        <f t="shared" si="12"/>
        <v>100</v>
      </c>
      <c r="T39" s="1483" t="s">
        <v>8</v>
      </c>
      <c r="U39" s="1484">
        <f t="shared" si="13"/>
        <v>100</v>
      </c>
      <c r="V39" s="1483" t="s">
        <v>8</v>
      </c>
      <c r="W39" s="1484">
        <f t="shared" si="14"/>
        <v>100</v>
      </c>
      <c r="X39" s="1477"/>
      <c r="Y39" s="3524" t="s">
        <v>533</v>
      </c>
      <c r="Z39" s="1485" t="str">
        <f t="shared" si="15"/>
        <v>物业管理</v>
      </c>
      <c r="AA39" s="1486">
        <f t="shared" si="3"/>
        <v>1</v>
      </c>
      <c r="AB39" s="1486">
        <f t="shared" si="4"/>
        <v>1</v>
      </c>
      <c r="AC39" s="1486">
        <f t="shared" si="5"/>
        <v>1</v>
      </c>
    </row>
    <row r="40" spans="1:29" ht="15">
      <c r="A40" s="571"/>
      <c r="B40" s="1784" t="s">
        <v>2526</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524"/>
      <c r="Q40" s="1482" t="str">
        <f t="shared" si="11"/>
        <v>市政基础设施</v>
      </c>
      <c r="R40" s="1483" t="s">
        <v>8</v>
      </c>
      <c r="S40" s="1484">
        <f t="shared" si="12"/>
        <v>100</v>
      </c>
      <c r="T40" s="1483" t="s">
        <v>8</v>
      </c>
      <c r="U40" s="1484">
        <f t="shared" si="13"/>
        <v>100</v>
      </c>
      <c r="V40" s="1483" t="s">
        <v>8</v>
      </c>
      <c r="W40" s="1484">
        <f t="shared" si="14"/>
        <v>100</v>
      </c>
      <c r="X40" s="1477"/>
      <c r="Y40" s="3524"/>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524"/>
      <c r="Q41" s="1482" t="str">
        <f t="shared" si="11"/>
        <v>层高</v>
      </c>
      <c r="R41" s="1483" t="s">
        <v>8</v>
      </c>
      <c r="S41" s="1484">
        <f t="shared" si="12"/>
        <v>100</v>
      </c>
      <c r="T41" s="1483" t="s">
        <v>8</v>
      </c>
      <c r="U41" s="1484">
        <f t="shared" si="13"/>
        <v>100</v>
      </c>
      <c r="V41" s="1483" t="s">
        <v>8</v>
      </c>
      <c r="W41" s="1484">
        <f t="shared" si="14"/>
        <v>100</v>
      </c>
      <c r="X41" s="1477"/>
      <c r="Y41" s="3524"/>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524"/>
      <c r="Q42" s="1511" t="str">
        <f t="shared" si="11"/>
        <v>单套建筑面积</v>
      </c>
      <c r="R42" s="1487" t="s">
        <v>8</v>
      </c>
      <c r="S42" s="1488">
        <f t="shared" si="12"/>
        <v>100</v>
      </c>
      <c r="T42" s="1487" t="s">
        <v>8</v>
      </c>
      <c r="U42" s="1488">
        <f t="shared" si="13"/>
        <v>100</v>
      </c>
      <c r="V42" s="1487" t="s">
        <v>8</v>
      </c>
      <c r="W42" s="1488">
        <f t="shared" si="14"/>
        <v>100</v>
      </c>
      <c r="X42" s="1489"/>
      <c r="Y42" s="3524"/>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524"/>
      <c r="Q43" s="1482" t="str">
        <f t="shared" si="11"/>
        <v>内部装修</v>
      </c>
      <c r="R43" s="1483" t="s">
        <v>8</v>
      </c>
      <c r="S43" s="1484">
        <f t="shared" si="12"/>
        <v>100</v>
      </c>
      <c r="T43" s="1483" t="s">
        <v>8</v>
      </c>
      <c r="U43" s="1484">
        <f t="shared" si="13"/>
        <v>100</v>
      </c>
      <c r="V43" s="1483" t="s">
        <v>8</v>
      </c>
      <c r="W43" s="1484">
        <f t="shared" si="14"/>
        <v>100</v>
      </c>
      <c r="X43" s="1477"/>
      <c r="Y43" s="3524"/>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524"/>
      <c r="Q44" s="1482" t="str">
        <f t="shared" si="11"/>
        <v>内部装修维护情况</v>
      </c>
      <c r="R44" s="1483" t="s">
        <v>8</v>
      </c>
      <c r="S44" s="1484">
        <f t="shared" si="12"/>
        <v>100</v>
      </c>
      <c r="T44" s="1483" t="s">
        <v>8</v>
      </c>
      <c r="U44" s="1484">
        <f t="shared" si="13"/>
        <v>100</v>
      </c>
      <c r="V44" s="1483" t="s">
        <v>8</v>
      </c>
      <c r="W44" s="1484">
        <f t="shared" si="14"/>
        <v>100</v>
      </c>
      <c r="X44" s="1477"/>
      <c r="Y44" s="3524"/>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524"/>
      <c r="Q45" s="1117">
        <f t="shared" si="11"/>
        <v>111</v>
      </c>
      <c r="R45" s="1478" t="s">
        <v>8</v>
      </c>
      <c r="S45" s="1479">
        <f t="shared" si="12"/>
        <v>100</v>
      </c>
      <c r="T45" s="1478" t="s">
        <v>8</v>
      </c>
      <c r="U45" s="1479">
        <f t="shared" si="13"/>
        <v>100</v>
      </c>
      <c r="V45" s="1478" t="s">
        <v>8</v>
      </c>
      <c r="W45" s="1479">
        <f t="shared" si="14"/>
        <v>100</v>
      </c>
      <c r="X45" s="1480"/>
      <c r="Y45" s="3524"/>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524"/>
      <c r="Q46" s="1482">
        <f t="shared" si="11"/>
        <v>111</v>
      </c>
      <c r="R46" s="1483" t="s">
        <v>8</v>
      </c>
      <c r="S46" s="1484">
        <f t="shared" si="12"/>
        <v>100</v>
      </c>
      <c r="T46" s="1483" t="s">
        <v>8</v>
      </c>
      <c r="U46" s="1484">
        <f t="shared" si="13"/>
        <v>100</v>
      </c>
      <c r="V46" s="1483" t="s">
        <v>8</v>
      </c>
      <c r="W46" s="1484">
        <f t="shared" si="14"/>
        <v>100</v>
      </c>
      <c r="X46" s="1477"/>
      <c r="Y46" s="3524"/>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628"/>
      <c r="Q47" s="1482">
        <f t="shared" si="11"/>
        <v>111</v>
      </c>
      <c r="R47" s="1483" t="s">
        <v>8</v>
      </c>
      <c r="S47" s="1484">
        <f t="shared" si="12"/>
        <v>100</v>
      </c>
      <c r="T47" s="1483" t="s">
        <v>8</v>
      </c>
      <c r="U47" s="1484">
        <f t="shared" si="13"/>
        <v>100</v>
      </c>
      <c r="V47" s="1483" t="s">
        <v>8</v>
      </c>
      <c r="W47" s="1484">
        <f t="shared" si="14"/>
        <v>100</v>
      </c>
      <c r="X47" s="1477"/>
      <c r="Y47" s="3628"/>
      <c r="Z47" s="1485">
        <f t="shared" si="15"/>
        <v>111</v>
      </c>
      <c r="AA47" s="1486">
        <f t="shared" si="3"/>
        <v>1</v>
      </c>
      <c r="AB47" s="1486">
        <f t="shared" si="4"/>
        <v>1</v>
      </c>
      <c r="AC47" s="1486">
        <f t="shared" si="5"/>
        <v>1</v>
      </c>
    </row>
    <row r="48" spans="1:29" ht="15">
      <c r="A48" s="584" t="s">
        <v>719</v>
      </c>
      <c r="B48" s="859"/>
      <c r="C48" s="2441" t="s">
        <v>1</v>
      </c>
      <c r="D48" s="2442"/>
      <c r="E48" s="2443"/>
      <c r="F48" s="2444"/>
      <c r="G48" s="2445"/>
      <c r="H48" s="2446"/>
      <c r="I48" s="2443"/>
      <c r="J48" s="2446"/>
      <c r="K48" s="1516"/>
      <c r="L48" s="2000"/>
      <c r="M48" s="1990"/>
      <c r="N48" s="1990"/>
      <c r="O48" s="1990"/>
      <c r="P48" s="3485" t="str">
        <f>A48</f>
        <v>成交单价（元/平方米）</v>
      </c>
      <c r="Q48" s="3487"/>
      <c r="R48" s="3627">
        <f>E48</f>
        <v>0</v>
      </c>
      <c r="S48" s="3627"/>
      <c r="T48" s="3627">
        <f>G48</f>
        <v>0</v>
      </c>
      <c r="U48" s="3627"/>
      <c r="V48" s="3627">
        <f>I48</f>
        <v>0</v>
      </c>
      <c r="W48" s="3627"/>
      <c r="X48" s="1472"/>
      <c r="Y48" s="1491"/>
      <c r="Z48" s="1472"/>
      <c r="AA48" s="1472"/>
      <c r="AB48" s="1472"/>
      <c r="AC48" s="1472"/>
    </row>
    <row r="49" spans="1:29" ht="15.75" thickBot="1">
      <c r="A49" s="592" t="s">
        <v>2719</v>
      </c>
      <c r="B49" s="860"/>
      <c r="C49" s="2447" t="e">
        <f>R50</f>
        <v>#DIV/0!</v>
      </c>
      <c r="D49" s="2982" t="s">
        <v>2946</v>
      </c>
      <c r="E49" s="2448" t="e">
        <f>R49</f>
        <v>#DIV/0!</v>
      </c>
      <c r="F49" s="2983"/>
      <c r="G49" s="2447" t="e">
        <f>T49</f>
        <v>#DIV/0!</v>
      </c>
      <c r="H49" s="2983"/>
      <c r="I49" s="2448" t="e">
        <f>V49</f>
        <v>#DIV/0!</v>
      </c>
      <c r="J49" s="2983"/>
      <c r="K49" s="2991">
        <f>F49+H49+J49</f>
        <v>0</v>
      </c>
      <c r="L49" s="2000"/>
      <c r="M49" s="1990"/>
      <c r="N49" s="1990"/>
      <c r="O49" s="1990"/>
      <c r="P49" s="3485" t="str">
        <f>A49</f>
        <v>比较价格（元/平方米）</v>
      </c>
      <c r="Q49" s="3487"/>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472"/>
      <c r="Y49" s="1472"/>
      <c r="Z49" s="1472"/>
      <c r="AA49" s="1472"/>
      <c r="AB49" s="1472"/>
      <c r="AC49" s="1472"/>
    </row>
    <row r="50" spans="1:29" ht="15.75" thickBot="1">
      <c r="A50" s="596" t="s">
        <v>2879</v>
      </c>
      <c r="B50" s="597"/>
      <c r="C50" s="2449" t="e">
        <f>R50</f>
        <v>#DIV/0!</v>
      </c>
      <c r="D50" s="2449"/>
      <c r="E50" s="2449"/>
      <c r="F50" s="2449"/>
      <c r="G50" s="2449"/>
      <c r="H50" s="2449"/>
      <c r="I50" s="2449"/>
      <c r="J50" s="2449"/>
      <c r="K50" s="1517"/>
      <c r="L50" s="2000"/>
      <c r="M50" s="1990"/>
      <c r="N50" s="1990"/>
      <c r="O50" s="1990"/>
      <c r="P50" s="3629" t="str">
        <f>A50</f>
        <v>估价对象XX用房的比较价格（楼面单价，元/平方米）</v>
      </c>
      <c r="Q50" s="3485"/>
      <c r="R50" s="3626" t="e">
        <f>IF(F1="售价",ROUND(IF(D49="简单平均",AVERAGE(R49:V49),R49*F49+T49*H49+V49*J49),0),ROUND(IF(D49="简单平均",AVERAGE(R49:V49),R49*F49+T49*H49+V49*J49),1))</f>
        <v>#DIV/0!</v>
      </c>
      <c r="S50" s="3626"/>
      <c r="T50" s="3626"/>
      <c r="U50" s="3626"/>
      <c r="V50" s="3626"/>
      <c r="W50" s="3626"/>
      <c r="X50" s="1472"/>
      <c r="Y50" s="1472"/>
      <c r="Z50" s="1472"/>
      <c r="AA50" s="1472"/>
      <c r="AB50" s="1472"/>
      <c r="AC50" s="1472"/>
    </row>
    <row r="51" spans="1:29">
      <c r="A51" s="3182"/>
      <c r="B51" s="3182"/>
      <c r="C51" s="3182"/>
      <c r="D51" s="3182"/>
      <c r="E51" s="3182"/>
      <c r="F51" s="3182"/>
      <c r="G51" s="3184"/>
      <c r="H51" s="3182"/>
      <c r="I51" s="3182"/>
      <c r="J51" s="3182"/>
      <c r="K51" s="3185"/>
      <c r="L51" s="2005"/>
      <c r="M51" s="2001"/>
      <c r="N51" s="2001"/>
      <c r="O51" s="2001"/>
      <c r="P51" s="2062"/>
      <c r="Q51" s="2001"/>
      <c r="R51" s="2001"/>
      <c r="S51" s="2001"/>
      <c r="T51" s="2001"/>
      <c r="U51" s="2001"/>
      <c r="V51" s="2001"/>
      <c r="W51" s="2001"/>
      <c r="X51" s="2001"/>
      <c r="Y51" s="2001"/>
      <c r="Z51" s="2001"/>
      <c r="AA51" s="2001"/>
      <c r="AB51" s="2001"/>
      <c r="AC51" s="2001"/>
    </row>
    <row r="52" spans="1:29">
      <c r="A52" s="3182"/>
      <c r="B52" s="3182"/>
      <c r="C52" s="3182"/>
      <c r="D52" s="3182"/>
      <c r="E52" s="3182"/>
      <c r="F52" s="3182"/>
      <c r="G52" s="3182"/>
      <c r="H52" s="3182"/>
      <c r="I52" s="3182"/>
      <c r="J52" s="3182"/>
      <c r="K52" s="3185"/>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5"/>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5"/>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6"/>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90" t="str">
        <f>YEAR(C7)&amp;"-"&amp;MONTH(C7)</f>
        <v>2022-1</v>
      </c>
      <c r="D59" s="2492">
        <f>EDATE(C59,-1)</f>
        <v>44531</v>
      </c>
      <c r="E59" s="2492">
        <f t="shared" ref="E59:O59" si="16">EDATE(D59,-1)</f>
        <v>44501</v>
      </c>
      <c r="F59" s="2492">
        <f t="shared" si="16"/>
        <v>44470</v>
      </c>
      <c r="G59" s="2492">
        <f t="shared" si="16"/>
        <v>44440</v>
      </c>
      <c r="H59" s="2492">
        <f t="shared" si="16"/>
        <v>44409</v>
      </c>
      <c r="I59" s="2492">
        <f t="shared" si="16"/>
        <v>44378</v>
      </c>
      <c r="J59" s="2492">
        <f t="shared" si="16"/>
        <v>44348</v>
      </c>
      <c r="K59" s="2492">
        <f t="shared" si="16"/>
        <v>44317</v>
      </c>
      <c r="L59" s="2492">
        <f t="shared" si="16"/>
        <v>44287</v>
      </c>
      <c r="M59" s="2492">
        <f t="shared" si="16"/>
        <v>44256</v>
      </c>
      <c r="N59" s="2492">
        <f t="shared" si="16"/>
        <v>44228</v>
      </c>
      <c r="O59" s="2492">
        <f t="shared" si="16"/>
        <v>44197</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2518</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412" t="s">
        <v>2519</v>
      </c>
      <c r="C83" s="2413" t="s">
        <v>2520</v>
      </c>
      <c r="D83" s="2413" t="s">
        <v>2521</v>
      </c>
      <c r="E83" s="2413" t="s">
        <v>2522</v>
      </c>
      <c r="F83" s="2413" t="s">
        <v>2523</v>
      </c>
      <c r="G83" s="2413" t="s">
        <v>2524</v>
      </c>
      <c r="H83" s="649"/>
      <c r="I83" s="649"/>
      <c r="J83" s="649"/>
      <c r="K83" s="649"/>
      <c r="L83" s="649"/>
      <c r="M83" s="2416"/>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2517</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504</v>
      </c>
      <c r="B4" s="490"/>
      <c r="C4" s="3493" t="s">
        <v>505</v>
      </c>
      <c r="D4" s="3494"/>
      <c r="E4" s="3549" t="s">
        <v>506</v>
      </c>
      <c r="F4" s="3550"/>
      <c r="G4" s="3493" t="s">
        <v>507</v>
      </c>
      <c r="H4" s="3494"/>
      <c r="I4" s="3493" t="s">
        <v>508</v>
      </c>
      <c r="J4" s="3494"/>
      <c r="K4" s="491" t="s">
        <v>509</v>
      </c>
      <c r="L4" s="1989"/>
      <c r="M4" s="1990"/>
      <c r="N4" s="1990"/>
      <c r="O4" s="1990"/>
      <c r="P4" s="3495" t="s">
        <v>510</v>
      </c>
      <c r="Q4" s="3496"/>
      <c r="R4" s="3501" t="s">
        <v>506</v>
      </c>
      <c r="S4" s="3502"/>
      <c r="T4" s="3501" t="s">
        <v>507</v>
      </c>
      <c r="U4" s="3502"/>
      <c r="V4" s="3488" t="s">
        <v>508</v>
      </c>
      <c r="W4" s="3488"/>
      <c r="X4" s="1477"/>
      <c r="Y4" s="3501" t="s">
        <v>510</v>
      </c>
      <c r="Z4" s="3502"/>
      <c r="AA4" s="3490" t="s">
        <v>506</v>
      </c>
      <c r="AB4" s="3491" t="s">
        <v>507</v>
      </c>
      <c r="AC4" s="3490" t="s">
        <v>508</v>
      </c>
    </row>
    <row r="5" spans="1:29" ht="15">
      <c r="A5" s="492"/>
      <c r="B5" s="493"/>
      <c r="C5" s="3509" t="s">
        <v>2873</v>
      </c>
      <c r="D5" s="3510"/>
      <c r="E5" s="3551" t="s">
        <v>2874</v>
      </c>
      <c r="F5" s="3552"/>
      <c r="G5" s="3509" t="s">
        <v>2875</v>
      </c>
      <c r="H5" s="3510"/>
      <c r="I5" s="3509" t="s">
        <v>2876</v>
      </c>
      <c r="J5" s="3510"/>
      <c r="K5" s="491"/>
      <c r="L5" s="1989"/>
      <c r="M5" s="1990"/>
      <c r="N5" s="1990"/>
      <c r="O5" s="1990"/>
      <c r="P5" s="3497"/>
      <c r="Q5" s="3498"/>
      <c r="R5" s="3503"/>
      <c r="S5" s="3504"/>
      <c r="T5" s="3503"/>
      <c r="U5" s="3504"/>
      <c r="V5" s="3488"/>
      <c r="W5" s="3488"/>
      <c r="X5" s="1477"/>
      <c r="Y5" s="3503"/>
      <c r="Z5" s="3504"/>
      <c r="AA5" s="3491"/>
      <c r="AB5" s="3491"/>
      <c r="AC5" s="3491"/>
    </row>
    <row r="6" spans="1:29" ht="15.75" thickBot="1">
      <c r="A6" s="494"/>
      <c r="B6" s="495"/>
      <c r="C6" s="3507" t="s">
        <v>2877</v>
      </c>
      <c r="D6" s="3508"/>
      <c r="E6" s="3547" t="s">
        <v>2877</v>
      </c>
      <c r="F6" s="3548"/>
      <c r="G6" s="3507" t="s">
        <v>2877</v>
      </c>
      <c r="H6" s="3508"/>
      <c r="I6" s="3507" t="s">
        <v>2877</v>
      </c>
      <c r="J6" s="3508"/>
      <c r="K6" s="491" t="s">
        <v>511</v>
      </c>
      <c r="L6" s="1989"/>
      <c r="M6" s="1990"/>
      <c r="N6" s="1990"/>
      <c r="O6" s="1990"/>
      <c r="P6" s="3499"/>
      <c r="Q6" s="3500"/>
      <c r="R6" s="3503"/>
      <c r="S6" s="3504"/>
      <c r="T6" s="3505"/>
      <c r="U6" s="3506"/>
      <c r="V6" s="3488"/>
      <c r="W6" s="3488"/>
      <c r="X6" s="1477"/>
      <c r="Y6" s="3505"/>
      <c r="Z6" s="3506"/>
      <c r="AA6" s="3492"/>
      <c r="AB6" s="3492"/>
      <c r="AC6" s="3492"/>
    </row>
    <row r="7" spans="1:29" s="1186" customFormat="1" ht="15.75" thickBot="1">
      <c r="A7" s="2600"/>
      <c r="B7" s="2607" t="s">
        <v>512</v>
      </c>
      <c r="C7" s="496">
        <f>'数据-取费表'!B2</f>
        <v>44574</v>
      </c>
      <c r="D7" s="497">
        <v>100</v>
      </c>
      <c r="E7" s="498"/>
      <c r="F7" s="499">
        <f>SUMIF(52:52,YEAR(E7)&amp;"-"&amp;MONTH(E7),53:53)</f>
        <v>0</v>
      </c>
      <c r="G7" s="498"/>
      <c r="H7" s="497">
        <f>SUMIF(52:52,YEAR(G7)&amp;"-"&amp;MONTH(G7),53:53)</f>
        <v>0</v>
      </c>
      <c r="I7" s="498"/>
      <c r="J7" s="497">
        <f>SUMIF(52:52,YEAR(I7)&amp;"-"&amp;MONTH(I7),53:53)</f>
        <v>0</v>
      </c>
      <c r="K7" s="501"/>
      <c r="L7" s="1991"/>
      <c r="M7" s="1992"/>
      <c r="N7" s="1992"/>
      <c r="O7" s="1992"/>
      <c r="P7" s="3518" t="s">
        <v>513</v>
      </c>
      <c r="Q7" s="3520"/>
      <c r="R7" s="1478" t="s">
        <v>8</v>
      </c>
      <c r="S7" s="1479">
        <f t="shared" ref="S7:S15" si="0">F7</f>
        <v>0</v>
      </c>
      <c r="T7" s="1478" t="s">
        <v>8</v>
      </c>
      <c r="U7" s="1479">
        <f t="shared" ref="U7:U15" si="1">H7</f>
        <v>0</v>
      </c>
      <c r="V7" s="1478" t="s">
        <v>8</v>
      </c>
      <c r="W7" s="1479">
        <f t="shared" ref="W7:W15" si="2">J7</f>
        <v>0</v>
      </c>
      <c r="X7" s="1480"/>
      <c r="Y7" s="3518" t="s">
        <v>513</v>
      </c>
      <c r="Z7" s="3519"/>
      <c r="AA7" s="1481" t="e">
        <f>D7/F7</f>
        <v>#DIV/0!</v>
      </c>
      <c r="AB7" s="1481" t="e">
        <f>D7/H7</f>
        <v>#DIV/0!</v>
      </c>
      <c r="AC7" s="1481" t="e">
        <f>D7/J7</f>
        <v>#DIV/0!</v>
      </c>
    </row>
    <row r="8" spans="1:29" s="1186" customFormat="1" ht="15.75" thickBot="1">
      <c r="A8" s="2601"/>
      <c r="B8" s="2608"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518" t="s">
        <v>516</v>
      </c>
      <c r="Q8" s="3519"/>
      <c r="R8" s="1478" t="s">
        <v>8</v>
      </c>
      <c r="S8" s="1479">
        <f t="shared" si="0"/>
        <v>0</v>
      </c>
      <c r="T8" s="1478" t="s">
        <v>8</v>
      </c>
      <c r="U8" s="1479">
        <f t="shared" si="1"/>
        <v>0</v>
      </c>
      <c r="V8" s="1478" t="s">
        <v>8</v>
      </c>
      <c r="W8" s="1479">
        <f t="shared" si="2"/>
        <v>0</v>
      </c>
      <c r="X8" s="1480"/>
      <c r="Y8" s="3518" t="s">
        <v>516</v>
      </c>
      <c r="Z8" s="3519"/>
      <c r="AA8" s="1481" t="e">
        <f t="shared" ref="AA8:AA40" si="3">D8/F8</f>
        <v>#DIV/0!</v>
      </c>
      <c r="AB8" s="1481" t="e">
        <f t="shared" ref="AB8:AB40" si="4">D8/H8</f>
        <v>#DIV/0!</v>
      </c>
      <c r="AC8" s="1481" t="e">
        <f t="shared" ref="AC8:AC40" si="5">D8/J8</f>
        <v>#DIV/0!</v>
      </c>
    </row>
    <row r="9" spans="1:29" s="1186" customFormat="1" ht="15">
      <c r="A9" s="2602"/>
      <c r="B9" s="2609" t="s">
        <v>2715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487" t="s">
        <v>518</v>
      </c>
      <c r="Q9" s="1117" t="str">
        <f t="shared" ref="Q9:Q15" si="6">B9</f>
        <v>用途</v>
      </c>
      <c r="R9" s="1478" t="s">
        <v>8</v>
      </c>
      <c r="S9" s="1479">
        <f t="shared" si="0"/>
        <v>100</v>
      </c>
      <c r="T9" s="1478" t="s">
        <v>8</v>
      </c>
      <c r="U9" s="1479">
        <f t="shared" si="1"/>
        <v>100</v>
      </c>
      <c r="V9" s="1478" t="s">
        <v>8</v>
      </c>
      <c r="W9" s="1479">
        <f t="shared" si="2"/>
        <v>100</v>
      </c>
      <c r="X9" s="1480"/>
      <c r="Y9" s="3433" t="s">
        <v>519</v>
      </c>
      <c r="Z9" s="1116" t="str">
        <f t="shared" ref="Z9:Z15" si="7">Q9</f>
        <v>用途</v>
      </c>
      <c r="AA9" s="1481">
        <f t="shared" si="3"/>
        <v>1</v>
      </c>
      <c r="AB9" s="1481">
        <f t="shared" si="4"/>
        <v>1</v>
      </c>
      <c r="AC9" s="1481">
        <f t="shared" si="5"/>
        <v>1</v>
      </c>
    </row>
    <row r="10" spans="1:29" s="1267" customFormat="1" ht="27">
      <c r="A10" s="2603"/>
      <c r="B10" s="2608" t="s">
        <v>2716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487"/>
      <c r="Q10" s="1117" t="str">
        <f t="shared" si="6"/>
        <v>土地使用年限（年）</v>
      </c>
      <c r="R10" s="1478" t="s">
        <v>8</v>
      </c>
      <c r="S10" s="1479">
        <f t="shared" si="0"/>
        <v>100</v>
      </c>
      <c r="T10" s="1478" t="s">
        <v>8</v>
      </c>
      <c r="U10" s="1479">
        <f t="shared" si="1"/>
        <v>100</v>
      </c>
      <c r="V10" s="1478" t="s">
        <v>8</v>
      </c>
      <c r="W10" s="1479">
        <f t="shared" si="2"/>
        <v>100</v>
      </c>
      <c r="X10" s="1480"/>
      <c r="Y10" s="3433"/>
      <c r="Z10" s="1116" t="str">
        <f t="shared" si="7"/>
        <v>土地使用年限（年）</v>
      </c>
      <c r="AA10" s="1481">
        <f t="shared" si="3"/>
        <v>1</v>
      </c>
      <c r="AB10" s="1481">
        <f t="shared" si="4"/>
        <v>1</v>
      </c>
      <c r="AC10" s="1481">
        <f t="shared" si="5"/>
        <v>1</v>
      </c>
    </row>
    <row r="11" spans="1:29" ht="15">
      <c r="A11" s="2604"/>
      <c r="B11" s="2608" t="s">
        <v>2717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487"/>
      <c r="Q11" s="1117" t="str">
        <f t="shared" si="6"/>
        <v>容积率</v>
      </c>
      <c r="R11" s="1478" t="s">
        <v>8</v>
      </c>
      <c r="S11" s="1479" t="e">
        <f t="shared" si="0"/>
        <v>#N/A</v>
      </c>
      <c r="T11" s="1478" t="s">
        <v>8</v>
      </c>
      <c r="U11" s="1479" t="e">
        <f t="shared" si="1"/>
        <v>#N/A</v>
      </c>
      <c r="V11" s="1478" t="s">
        <v>8</v>
      </c>
      <c r="W11" s="1479" t="e">
        <f t="shared" si="2"/>
        <v>#N/A</v>
      </c>
      <c r="X11" s="1480"/>
      <c r="Y11" s="3433"/>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487"/>
      <c r="Q12" s="1117">
        <f t="shared" si="6"/>
        <v>111</v>
      </c>
      <c r="R12" s="1478" t="s">
        <v>8</v>
      </c>
      <c r="S12" s="1479">
        <f t="shared" si="0"/>
        <v>100</v>
      </c>
      <c r="T12" s="1478" t="s">
        <v>8</v>
      </c>
      <c r="U12" s="1479">
        <f t="shared" si="1"/>
        <v>100</v>
      </c>
      <c r="V12" s="1478" t="s">
        <v>8</v>
      </c>
      <c r="W12" s="1479">
        <f t="shared" si="2"/>
        <v>100</v>
      </c>
      <c r="X12" s="1480"/>
      <c r="Y12" s="3433"/>
      <c r="Z12" s="1116">
        <f t="shared" si="7"/>
        <v>111</v>
      </c>
      <c r="AA12" s="1481">
        <f>D12/F12</f>
        <v>1</v>
      </c>
      <c r="AB12" s="1481">
        <f>D12/H12</f>
        <v>1</v>
      </c>
      <c r="AC12" s="1481">
        <f>D12/J12</f>
        <v>1</v>
      </c>
    </row>
    <row r="13" spans="1:29" ht="15">
      <c r="A13" s="2605"/>
      <c r="B13" s="2611">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487"/>
      <c r="Q13" s="1117">
        <f t="shared" si="6"/>
        <v>111</v>
      </c>
      <c r="R13" s="1478" t="s">
        <v>8</v>
      </c>
      <c r="S13" s="1479">
        <f t="shared" si="0"/>
        <v>100</v>
      </c>
      <c r="T13" s="1478" t="s">
        <v>8</v>
      </c>
      <c r="U13" s="1479">
        <f t="shared" si="1"/>
        <v>100</v>
      </c>
      <c r="V13" s="1478" t="s">
        <v>8</v>
      </c>
      <c r="W13" s="1479">
        <f t="shared" si="2"/>
        <v>100</v>
      </c>
      <c r="X13" s="1480"/>
      <c r="Y13" s="3433"/>
      <c r="Z13" s="1116">
        <f t="shared" si="7"/>
        <v>111</v>
      </c>
      <c r="AA13" s="1481">
        <f t="shared" si="3"/>
        <v>1</v>
      </c>
      <c r="AB13" s="1481">
        <f t="shared" si="4"/>
        <v>1</v>
      </c>
      <c r="AC13" s="1481">
        <f t="shared" si="5"/>
        <v>1</v>
      </c>
    </row>
    <row r="14" spans="1:29" ht="15.75" thickBot="1">
      <c r="A14" s="2606"/>
      <c r="B14" s="2612">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487"/>
      <c r="Q14" s="1117">
        <f t="shared" si="6"/>
        <v>111</v>
      </c>
      <c r="R14" s="1478" t="s">
        <v>8</v>
      </c>
      <c r="S14" s="1479">
        <f t="shared" si="0"/>
        <v>100</v>
      </c>
      <c r="T14" s="1478" t="s">
        <v>8</v>
      </c>
      <c r="U14" s="1479">
        <f t="shared" si="1"/>
        <v>100</v>
      </c>
      <c r="V14" s="1478" t="s">
        <v>8</v>
      </c>
      <c r="W14" s="1479">
        <f t="shared" si="2"/>
        <v>100</v>
      </c>
      <c r="X14" s="1480"/>
      <c r="Y14" s="3433"/>
      <c r="Z14" s="1116">
        <f t="shared" si="7"/>
        <v>111</v>
      </c>
      <c r="AA14" s="1481">
        <f t="shared" si="3"/>
        <v>1</v>
      </c>
      <c r="AB14" s="1481">
        <f t="shared" si="4"/>
        <v>1</v>
      </c>
      <c r="AC14" s="1481">
        <f t="shared" si="5"/>
        <v>1</v>
      </c>
    </row>
    <row r="15" spans="1:29" ht="57">
      <c r="A15" s="2598" t="s">
        <v>2713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521" t="s">
        <v>523</v>
      </c>
      <c r="Q15" s="1482" t="str">
        <f t="shared" si="6"/>
        <v>产业集聚程度</v>
      </c>
      <c r="R15" s="1483" t="s">
        <v>8</v>
      </c>
      <c r="S15" s="1484">
        <f t="shared" si="0"/>
        <v>100</v>
      </c>
      <c r="T15" s="1483" t="s">
        <v>8</v>
      </c>
      <c r="U15" s="1484">
        <f t="shared" si="1"/>
        <v>100</v>
      </c>
      <c r="V15" s="1483" t="s">
        <v>8</v>
      </c>
      <c r="W15" s="1484">
        <f t="shared" si="2"/>
        <v>100</v>
      </c>
      <c r="X15" s="1477"/>
      <c r="Y15" s="3521"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22"/>
      <c r="Q16" s="1482"/>
      <c r="R16" s="1483"/>
      <c r="S16" s="1484"/>
      <c r="T16" s="1483"/>
      <c r="U16" s="1484"/>
      <c r="V16" s="1483"/>
      <c r="W16" s="1484"/>
      <c r="X16" s="1477"/>
      <c r="Y16" s="3522"/>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522"/>
      <c r="Q17" s="1482" t="str">
        <f>B17</f>
        <v>交通便捷度</v>
      </c>
      <c r="R17" s="1483" t="s">
        <v>8</v>
      </c>
      <c r="S17" s="1484">
        <f>F17</f>
        <v>100</v>
      </c>
      <c r="T17" s="1483" t="s">
        <v>8</v>
      </c>
      <c r="U17" s="1484">
        <f>H17</f>
        <v>100</v>
      </c>
      <c r="V17" s="1483" t="s">
        <v>8</v>
      </c>
      <c r="W17" s="1484">
        <f>J17</f>
        <v>100</v>
      </c>
      <c r="X17" s="1477"/>
      <c r="Y17" s="3522"/>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22"/>
      <c r="Q18" s="1482"/>
      <c r="R18" s="1483"/>
      <c r="S18" s="1484"/>
      <c r="T18" s="1483"/>
      <c r="U18" s="1484"/>
      <c r="V18" s="1483"/>
      <c r="W18" s="1484"/>
      <c r="X18" s="1477"/>
      <c r="Y18" s="3522"/>
      <c r="Z18" s="1485"/>
      <c r="AA18" s="1486">
        <v>1</v>
      </c>
      <c r="AB18" s="1486">
        <v>1</v>
      </c>
      <c r="AC18" s="1486">
        <v>1</v>
      </c>
    </row>
    <row r="19" spans="1:29" ht="42.75">
      <c r="A19" s="509"/>
      <c r="B19" s="2418" t="s">
        <v>2507</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522"/>
      <c r="Q19" s="1482" t="str">
        <f>B19</f>
        <v>公共配套设施</v>
      </c>
      <c r="R19" s="1483" t="s">
        <v>8</v>
      </c>
      <c r="S19" s="1484">
        <f>F19</f>
        <v>100</v>
      </c>
      <c r="T19" s="1483" t="s">
        <v>8</v>
      </c>
      <c r="U19" s="1484">
        <f>H19</f>
        <v>100</v>
      </c>
      <c r="V19" s="1483" t="s">
        <v>8</v>
      </c>
      <c r="W19" s="1484">
        <f>J19</f>
        <v>100</v>
      </c>
      <c r="X19" s="1477"/>
      <c r="Y19" s="3522"/>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522"/>
      <c r="Q20" s="1482"/>
      <c r="R20" s="1483"/>
      <c r="S20" s="1484"/>
      <c r="T20" s="1483"/>
      <c r="U20" s="1484"/>
      <c r="V20" s="1483"/>
      <c r="W20" s="1484"/>
      <c r="X20" s="1477"/>
      <c r="Y20" s="3522"/>
      <c r="Z20" s="1485"/>
      <c r="AA20" s="1486">
        <v>1</v>
      </c>
      <c r="AB20" s="1486">
        <v>1</v>
      </c>
      <c r="AC20" s="1486">
        <v>1</v>
      </c>
    </row>
    <row r="21" spans="1:29" ht="28.5">
      <c r="A21" s="509"/>
      <c r="B21" s="2406" t="s">
        <v>2519</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522"/>
      <c r="Q21" s="2400" t="str">
        <f>B21</f>
        <v>基础设施水平</v>
      </c>
      <c r="R21" s="1483" t="s">
        <v>8</v>
      </c>
      <c r="S21" s="1484">
        <f>F21</f>
        <v>100</v>
      </c>
      <c r="T21" s="1483" t="s">
        <v>8</v>
      </c>
      <c r="U21" s="1484">
        <f>H21</f>
        <v>100</v>
      </c>
      <c r="V21" s="1483" t="s">
        <v>8</v>
      </c>
      <c r="W21" s="1484">
        <f>J21</f>
        <v>100</v>
      </c>
      <c r="X21" s="2402"/>
      <c r="Y21" s="3522"/>
      <c r="Z21" s="2401"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417"/>
      <c r="L22" s="1998"/>
      <c r="M22" s="1990"/>
      <c r="N22" s="1990"/>
      <c r="O22" s="1997"/>
      <c r="P22" s="3522"/>
      <c r="Q22" s="2400"/>
      <c r="R22" s="1483"/>
      <c r="S22" s="1484"/>
      <c r="T22" s="1483"/>
      <c r="U22" s="1484"/>
      <c r="V22" s="1483"/>
      <c r="W22" s="1484"/>
      <c r="X22" s="2402"/>
      <c r="Y22" s="3522"/>
      <c r="Z22" s="2401"/>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522"/>
      <c r="Q23" s="1482" t="str">
        <f>B23</f>
        <v>环境质量</v>
      </c>
      <c r="R23" s="1483" t="s">
        <v>8</v>
      </c>
      <c r="S23" s="1484">
        <f>F23</f>
        <v>100</v>
      </c>
      <c r="T23" s="1483" t="s">
        <v>8</v>
      </c>
      <c r="U23" s="1484">
        <f>H23</f>
        <v>100</v>
      </c>
      <c r="V23" s="1483" t="s">
        <v>8</v>
      </c>
      <c r="W23" s="1484">
        <f>J23</f>
        <v>100</v>
      </c>
      <c r="X23" s="1477"/>
      <c r="Y23" s="3522"/>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522"/>
      <c r="Q24" s="1482"/>
      <c r="R24" s="1483"/>
      <c r="S24" s="1484"/>
      <c r="T24" s="1483"/>
      <c r="U24" s="1484"/>
      <c r="V24" s="1483"/>
      <c r="W24" s="1484"/>
      <c r="X24" s="1477"/>
      <c r="Y24" s="3522"/>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522"/>
      <c r="Q25" s="1482">
        <f>B25</f>
        <v>111</v>
      </c>
      <c r="R25" s="1483" t="s">
        <v>8</v>
      </c>
      <c r="S25" s="1484">
        <f>F25</f>
        <v>100</v>
      </c>
      <c r="T25" s="1483" t="s">
        <v>8</v>
      </c>
      <c r="U25" s="1484">
        <f>H25</f>
        <v>100</v>
      </c>
      <c r="V25" s="1483" t="s">
        <v>8</v>
      </c>
      <c r="W25" s="1484">
        <f>J25</f>
        <v>100</v>
      </c>
      <c r="X25" s="1477"/>
      <c r="Y25" s="3522"/>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522"/>
      <c r="Q26" s="1482">
        <f t="shared" ref="Q26:Q40" si="11">B26</f>
        <v>111</v>
      </c>
      <c r="R26" s="1483" t="s">
        <v>8</v>
      </c>
      <c r="S26" s="1484">
        <f>F26</f>
        <v>100</v>
      </c>
      <c r="T26" s="1483" t="s">
        <v>8</v>
      </c>
      <c r="U26" s="1484">
        <f>H26</f>
        <v>100</v>
      </c>
      <c r="V26" s="1483" t="s">
        <v>8</v>
      </c>
      <c r="W26" s="1484">
        <f>J26</f>
        <v>100</v>
      </c>
      <c r="X26" s="1477"/>
      <c r="Y26" s="3522"/>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522"/>
      <c r="Q27" s="1117">
        <f t="shared" si="11"/>
        <v>111</v>
      </c>
      <c r="R27" s="1478" t="s">
        <v>8</v>
      </c>
      <c r="S27" s="1479">
        <f>F27</f>
        <v>100</v>
      </c>
      <c r="T27" s="1478" t="s">
        <v>8</v>
      </c>
      <c r="U27" s="1479">
        <f>H27</f>
        <v>100</v>
      </c>
      <c r="V27" s="1478" t="s">
        <v>8</v>
      </c>
      <c r="W27" s="1479">
        <f>J27</f>
        <v>100</v>
      </c>
      <c r="X27" s="1480"/>
      <c r="Y27" s="3522"/>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522"/>
      <c r="Q28" s="1482">
        <f t="shared" si="11"/>
        <v>111</v>
      </c>
      <c r="R28" s="1483" t="s">
        <v>8</v>
      </c>
      <c r="S28" s="1484">
        <f t="shared" ref="S28:S40" si="12">F28</f>
        <v>100</v>
      </c>
      <c r="T28" s="1483" t="s">
        <v>8</v>
      </c>
      <c r="U28" s="1484">
        <f t="shared" ref="U28:U40" si="13">H28</f>
        <v>100</v>
      </c>
      <c r="V28" s="1483" t="s">
        <v>8</v>
      </c>
      <c r="W28" s="1484">
        <f t="shared" ref="W28:W40" si="14">J28</f>
        <v>100</v>
      </c>
      <c r="X28" s="1477"/>
      <c r="Y28" s="3522"/>
      <c r="Z28" s="1485">
        <f t="shared" ref="Z28:Z40" si="15">Q28</f>
        <v>111</v>
      </c>
      <c r="AA28" s="1486">
        <f t="shared" si="3"/>
        <v>1</v>
      </c>
      <c r="AB28" s="1486">
        <f t="shared" si="4"/>
        <v>1</v>
      </c>
      <c r="AC28" s="1486">
        <f t="shared" si="5"/>
        <v>1</v>
      </c>
    </row>
    <row r="29" spans="1:29" ht="15">
      <c r="A29" s="2595" t="s">
        <v>2714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523" t="s">
        <v>533</v>
      </c>
      <c r="Q29" s="1482" t="str">
        <f t="shared" si="11"/>
        <v>建筑类型</v>
      </c>
      <c r="R29" s="1483" t="s">
        <v>8</v>
      </c>
      <c r="S29" s="1484">
        <f t="shared" si="12"/>
        <v>100</v>
      </c>
      <c r="T29" s="1483" t="s">
        <v>8</v>
      </c>
      <c r="U29" s="1484">
        <f t="shared" si="13"/>
        <v>100</v>
      </c>
      <c r="V29" s="1483" t="s">
        <v>8</v>
      </c>
      <c r="W29" s="1484">
        <f t="shared" si="14"/>
        <v>100</v>
      </c>
      <c r="X29" s="1477"/>
      <c r="Y29" s="3524"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524"/>
      <c r="Q30" s="1511" t="str">
        <f t="shared" si="11"/>
        <v>项目建筑规模</v>
      </c>
      <c r="R30" s="1487" t="s">
        <v>8</v>
      </c>
      <c r="S30" s="1488" t="e">
        <f t="shared" si="12"/>
        <v>#N/A</v>
      </c>
      <c r="T30" s="1487" t="s">
        <v>8</v>
      </c>
      <c r="U30" s="1488" t="e">
        <f t="shared" si="13"/>
        <v>#N/A</v>
      </c>
      <c r="V30" s="1487" t="s">
        <v>8</v>
      </c>
      <c r="W30" s="1488" t="e">
        <f t="shared" si="14"/>
        <v>#N/A</v>
      </c>
      <c r="X30" s="1489"/>
      <c r="Y30" s="3524"/>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524"/>
      <c r="Q31" s="1482" t="str">
        <f t="shared" si="11"/>
        <v>建筑结构</v>
      </c>
      <c r="R31" s="1483" t="s">
        <v>8</v>
      </c>
      <c r="S31" s="1484">
        <f t="shared" si="12"/>
        <v>100</v>
      </c>
      <c r="T31" s="1483" t="s">
        <v>8</v>
      </c>
      <c r="U31" s="1484">
        <f t="shared" si="13"/>
        <v>100</v>
      </c>
      <c r="V31" s="1483" t="s">
        <v>8</v>
      </c>
      <c r="W31" s="1484">
        <f t="shared" si="14"/>
        <v>100</v>
      </c>
      <c r="X31" s="1477"/>
      <c r="Y31" s="3524"/>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524"/>
      <c r="Q32" s="1482" t="str">
        <f t="shared" si="11"/>
        <v>公共部分装修</v>
      </c>
      <c r="R32" s="1483" t="s">
        <v>8</v>
      </c>
      <c r="S32" s="1484">
        <f t="shared" si="12"/>
        <v>100</v>
      </c>
      <c r="T32" s="1483" t="s">
        <v>8</v>
      </c>
      <c r="U32" s="1484">
        <f t="shared" si="13"/>
        <v>100</v>
      </c>
      <c r="V32" s="1483" t="s">
        <v>8</v>
      </c>
      <c r="W32" s="1484">
        <f t="shared" si="14"/>
        <v>100</v>
      </c>
      <c r="X32" s="1477"/>
      <c r="Y32" s="3524"/>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524"/>
      <c r="Q33" s="1482" t="str">
        <f t="shared" si="11"/>
        <v>成新度</v>
      </c>
      <c r="R33" s="1483" t="s">
        <v>8</v>
      </c>
      <c r="S33" s="1484" t="e">
        <f t="shared" si="12"/>
        <v>#N/A</v>
      </c>
      <c r="T33" s="1483" t="s">
        <v>8</v>
      </c>
      <c r="U33" s="1484" t="e">
        <f t="shared" si="13"/>
        <v>#N/A</v>
      </c>
      <c r="V33" s="1483" t="s">
        <v>8</v>
      </c>
      <c r="W33" s="1484" t="e">
        <f t="shared" si="14"/>
        <v>#N/A</v>
      </c>
      <c r="X33" s="1477"/>
      <c r="Y33" s="3524"/>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524"/>
      <c r="Q34" s="1117" t="str">
        <f t="shared" si="11"/>
        <v>物业管理</v>
      </c>
      <c r="R34" s="1478" t="s">
        <v>8</v>
      </c>
      <c r="S34" s="1479">
        <f t="shared" si="12"/>
        <v>100</v>
      </c>
      <c r="T34" s="1478" t="s">
        <v>8</v>
      </c>
      <c r="U34" s="1479">
        <f t="shared" si="13"/>
        <v>100</v>
      </c>
      <c r="V34" s="1478" t="s">
        <v>8</v>
      </c>
      <c r="W34" s="1479">
        <f t="shared" si="14"/>
        <v>100</v>
      </c>
      <c r="X34" s="1480"/>
      <c r="Y34" s="3524"/>
      <c r="Z34" s="1116" t="str">
        <f t="shared" si="15"/>
        <v>物业管理</v>
      </c>
      <c r="AA34" s="1481">
        <f t="shared" si="3"/>
        <v>1</v>
      </c>
      <c r="AB34" s="1481">
        <f t="shared" si="4"/>
        <v>1</v>
      </c>
      <c r="AC34" s="1481">
        <f t="shared" si="5"/>
        <v>1</v>
      </c>
    </row>
    <row r="35" spans="1:29" ht="15">
      <c r="A35" s="571"/>
      <c r="B35" s="1784" t="s">
        <v>2526</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524" t="s">
        <v>533</v>
      </c>
      <c r="Q35" s="1482" t="str">
        <f t="shared" si="11"/>
        <v>市政基础设施</v>
      </c>
      <c r="R35" s="1483" t="s">
        <v>8</v>
      </c>
      <c r="S35" s="1484">
        <f t="shared" si="12"/>
        <v>100</v>
      </c>
      <c r="T35" s="1483" t="s">
        <v>8</v>
      </c>
      <c r="U35" s="1484">
        <f t="shared" si="13"/>
        <v>100</v>
      </c>
      <c r="V35" s="1483" t="s">
        <v>8</v>
      </c>
      <c r="W35" s="1484">
        <f t="shared" si="14"/>
        <v>100</v>
      </c>
      <c r="X35" s="1477"/>
      <c r="Y35" s="3524"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524"/>
      <c r="Q36" s="1482" t="str">
        <f t="shared" si="11"/>
        <v>内部装修</v>
      </c>
      <c r="R36" s="1483" t="s">
        <v>8</v>
      </c>
      <c r="S36" s="1484">
        <f t="shared" si="12"/>
        <v>100</v>
      </c>
      <c r="T36" s="1483" t="s">
        <v>8</v>
      </c>
      <c r="U36" s="1484">
        <f t="shared" si="13"/>
        <v>100</v>
      </c>
      <c r="V36" s="1483" t="s">
        <v>8</v>
      </c>
      <c r="W36" s="1484">
        <f t="shared" si="14"/>
        <v>100</v>
      </c>
      <c r="X36" s="1477"/>
      <c r="Y36" s="3524"/>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524"/>
      <c r="Q37" s="1482" t="str">
        <f t="shared" si="11"/>
        <v>内部装修状况</v>
      </c>
      <c r="R37" s="1483" t="s">
        <v>8</v>
      </c>
      <c r="S37" s="1484">
        <f t="shared" si="12"/>
        <v>100</v>
      </c>
      <c r="T37" s="1483" t="s">
        <v>8</v>
      </c>
      <c r="U37" s="1484">
        <f t="shared" si="13"/>
        <v>100</v>
      </c>
      <c r="V37" s="1483" t="s">
        <v>8</v>
      </c>
      <c r="W37" s="1484">
        <f t="shared" si="14"/>
        <v>100</v>
      </c>
      <c r="X37" s="1477"/>
      <c r="Y37" s="3524"/>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524"/>
      <c r="Q38" s="1511">
        <f t="shared" si="11"/>
        <v>111</v>
      </c>
      <c r="R38" s="1487" t="s">
        <v>8</v>
      </c>
      <c r="S38" s="1488">
        <f t="shared" si="12"/>
        <v>100</v>
      </c>
      <c r="T38" s="1487" t="s">
        <v>8</v>
      </c>
      <c r="U38" s="1488">
        <f t="shared" si="13"/>
        <v>100</v>
      </c>
      <c r="V38" s="1487" t="s">
        <v>8</v>
      </c>
      <c r="W38" s="1488">
        <f t="shared" si="14"/>
        <v>100</v>
      </c>
      <c r="X38" s="1489"/>
      <c r="Y38" s="3524"/>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524"/>
      <c r="Q39" s="1482">
        <f t="shared" si="11"/>
        <v>111</v>
      </c>
      <c r="R39" s="1483" t="s">
        <v>8</v>
      </c>
      <c r="S39" s="1484">
        <f t="shared" si="12"/>
        <v>100</v>
      </c>
      <c r="T39" s="1483" t="s">
        <v>8</v>
      </c>
      <c r="U39" s="1484">
        <f t="shared" si="13"/>
        <v>100</v>
      </c>
      <c r="V39" s="1483" t="s">
        <v>8</v>
      </c>
      <c r="W39" s="1484">
        <f t="shared" si="14"/>
        <v>100</v>
      </c>
      <c r="X39" s="1477"/>
      <c r="Y39" s="3524"/>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628"/>
      <c r="Q40" s="1482">
        <f t="shared" si="11"/>
        <v>111</v>
      </c>
      <c r="R40" s="1483" t="s">
        <v>8</v>
      </c>
      <c r="S40" s="1484">
        <f t="shared" si="12"/>
        <v>100</v>
      </c>
      <c r="T40" s="1483" t="s">
        <v>8</v>
      </c>
      <c r="U40" s="1484">
        <f t="shared" si="13"/>
        <v>100</v>
      </c>
      <c r="V40" s="1483" t="s">
        <v>8</v>
      </c>
      <c r="W40" s="1484">
        <f t="shared" si="14"/>
        <v>100</v>
      </c>
      <c r="X40" s="1477"/>
      <c r="Y40" s="3628"/>
      <c r="Z40" s="1485">
        <f t="shared" si="15"/>
        <v>111</v>
      </c>
      <c r="AA40" s="1486">
        <f t="shared" si="3"/>
        <v>1</v>
      </c>
      <c r="AB40" s="1486">
        <f t="shared" si="4"/>
        <v>1</v>
      </c>
      <c r="AC40" s="1486">
        <f t="shared" si="5"/>
        <v>1</v>
      </c>
    </row>
    <row r="41" spans="1:29" ht="15">
      <c r="A41" s="584" t="s">
        <v>719</v>
      </c>
      <c r="B41" s="859"/>
      <c r="C41" s="2441" t="s">
        <v>1</v>
      </c>
      <c r="D41" s="2442"/>
      <c r="E41" s="2443"/>
      <c r="F41" s="2444"/>
      <c r="G41" s="2445"/>
      <c r="H41" s="2446"/>
      <c r="I41" s="2443"/>
      <c r="J41" s="2446"/>
      <c r="K41" s="1516"/>
      <c r="L41" s="2000"/>
      <c r="M41" s="2001"/>
      <c r="N41" s="1990"/>
      <c r="O41" s="2001"/>
      <c r="P41" s="3487" t="str">
        <f>A41</f>
        <v>成交单价（元/平方米）</v>
      </c>
      <c r="Q41" s="3487"/>
      <c r="R41" s="3627">
        <f>E41</f>
        <v>0</v>
      </c>
      <c r="S41" s="3627"/>
      <c r="T41" s="3627">
        <f>G41</f>
        <v>0</v>
      </c>
      <c r="U41" s="3627"/>
      <c r="V41" s="3627">
        <f>I41</f>
        <v>0</v>
      </c>
      <c r="W41" s="3627"/>
      <c r="X41" s="1472"/>
      <c r="Y41" s="1491"/>
      <c r="Z41" s="1472"/>
      <c r="AA41" s="1472"/>
      <c r="AB41" s="1472"/>
      <c r="AC41" s="1472"/>
    </row>
    <row r="42" spans="1:29" ht="15.75" thickBot="1">
      <c r="A42" s="592" t="s">
        <v>2719</v>
      </c>
      <c r="B42" s="860"/>
      <c r="C42" s="2447" t="e">
        <f>R43</f>
        <v>#DIV/0!</v>
      </c>
      <c r="D42" s="2982" t="s">
        <v>2946</v>
      </c>
      <c r="E42" s="2448" t="e">
        <f>R42</f>
        <v>#DIV/0!</v>
      </c>
      <c r="F42" s="2983"/>
      <c r="G42" s="2447" t="e">
        <f>T42</f>
        <v>#DIV/0!</v>
      </c>
      <c r="H42" s="2983"/>
      <c r="I42" s="2448" t="e">
        <f>V42</f>
        <v>#DIV/0!</v>
      </c>
      <c r="J42" s="2983"/>
      <c r="K42" s="2991">
        <f>F42+H42+J42</f>
        <v>0</v>
      </c>
      <c r="L42" s="2000"/>
      <c r="M42" s="2001"/>
      <c r="N42" s="1990"/>
      <c r="O42" s="2001"/>
      <c r="P42" s="3487" t="str">
        <f>A42</f>
        <v>比较价格（元/平方米）</v>
      </c>
      <c r="Q42" s="3487"/>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472"/>
      <c r="Y42" s="1472"/>
      <c r="Z42" s="1472"/>
      <c r="AA42" s="1472"/>
      <c r="AB42" s="1472"/>
      <c r="AC42" s="1472"/>
    </row>
    <row r="43" spans="1:29" ht="15.75" thickBot="1">
      <c r="A43" s="596" t="s">
        <v>2879</v>
      </c>
      <c r="B43" s="597"/>
      <c r="C43" s="2449" t="e">
        <f>R43</f>
        <v>#DIV/0!</v>
      </c>
      <c r="D43" s="2449"/>
      <c r="E43" s="2449"/>
      <c r="F43" s="2449"/>
      <c r="G43" s="2449"/>
      <c r="H43" s="2449"/>
      <c r="I43" s="2449"/>
      <c r="J43" s="2449"/>
      <c r="K43" s="1517"/>
      <c r="L43" s="2000"/>
      <c r="M43" s="2001"/>
      <c r="N43" s="2001"/>
      <c r="O43" s="2001"/>
      <c r="P43" s="3484" t="str">
        <f>A43</f>
        <v>估价对象XX用房的比较价格（楼面单价，元/平方米）</v>
      </c>
      <c r="Q43" s="3485"/>
      <c r="R43" s="3626" t="e">
        <f>IF(F1="售价",ROUND(IF(D42="简单平均",AVERAGE(R42:V42),R42*F42+T42*H42+V42*J42),0),ROUND(IF(D42="简单平均",AVERAGE(R42:V42),R42*F42+T42*H42+V42*J42),1))</f>
        <v>#DIV/0!</v>
      </c>
      <c r="S43" s="3626"/>
      <c r="T43" s="3626"/>
      <c r="U43" s="3626"/>
      <c r="V43" s="3626"/>
      <c r="W43" s="3626"/>
      <c r="X43" s="1472"/>
      <c r="Y43" s="1472"/>
      <c r="Z43" s="1472"/>
      <c r="AA43" s="1472"/>
      <c r="AB43" s="1472"/>
      <c r="AC43" s="1472"/>
    </row>
    <row r="44" spans="1:29">
      <c r="A44" s="3182"/>
      <c r="B44" s="3182"/>
      <c r="C44" s="3182"/>
      <c r="D44" s="3182"/>
      <c r="E44" s="3182"/>
      <c r="F44" s="3182"/>
      <c r="G44" s="3184"/>
      <c r="H44" s="3182"/>
      <c r="I44" s="3182"/>
      <c r="J44" s="3182"/>
      <c r="K44" s="3185"/>
      <c r="L44" s="2005"/>
      <c r="M44" s="2001"/>
      <c r="N44" s="2001"/>
      <c r="O44" s="2001"/>
      <c r="P44" s="2001"/>
      <c r="Q44" s="2001"/>
      <c r="R44" s="2001"/>
      <c r="S44" s="2001"/>
      <c r="T44" s="2001"/>
      <c r="U44" s="2001"/>
      <c r="V44" s="2001"/>
      <c r="W44" s="2001"/>
      <c r="X44" s="2001"/>
      <c r="Y44" s="2001"/>
      <c r="Z44" s="2001"/>
      <c r="AA44" s="2001"/>
      <c r="AB44" s="2001"/>
      <c r="AC44" s="2001"/>
    </row>
    <row r="45" spans="1:29">
      <c r="A45" s="3182"/>
      <c r="B45" s="3182"/>
      <c r="C45" s="3182"/>
      <c r="D45" s="3182"/>
      <c r="E45" s="3182"/>
      <c r="F45" s="3182"/>
      <c r="G45" s="3182"/>
      <c r="H45" s="3182"/>
      <c r="I45" s="3182"/>
      <c r="J45" s="3182"/>
      <c r="K45" s="3185"/>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82"/>
      <c r="B46" s="318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85"/>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82"/>
      <c r="B47" s="318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85"/>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83"/>
      <c r="B48" s="318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86"/>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90" t="str">
        <f>YEAR(C7)&amp;"-"&amp;MONTH(C7)</f>
        <v>2022-1</v>
      </c>
      <c r="D52" s="2492">
        <f>EDATE(C52,-1)</f>
        <v>44531</v>
      </c>
      <c r="E52" s="2492">
        <f t="shared" ref="E52:O52" si="16">EDATE(D52,-1)</f>
        <v>44501</v>
      </c>
      <c r="F52" s="2492">
        <f t="shared" si="16"/>
        <v>44470</v>
      </c>
      <c r="G52" s="2492">
        <f t="shared" si="16"/>
        <v>44440</v>
      </c>
      <c r="H52" s="2492">
        <f t="shared" si="16"/>
        <v>44409</v>
      </c>
      <c r="I52" s="2492">
        <f t="shared" si="16"/>
        <v>44378</v>
      </c>
      <c r="J52" s="2492">
        <f t="shared" si="16"/>
        <v>44348</v>
      </c>
      <c r="K52" s="2492">
        <f t="shared" si="16"/>
        <v>44317</v>
      </c>
      <c r="L52" s="2492">
        <f t="shared" si="16"/>
        <v>44287</v>
      </c>
      <c r="M52" s="2492">
        <f t="shared" si="16"/>
        <v>44256</v>
      </c>
      <c r="N52" s="2492">
        <f t="shared" si="16"/>
        <v>44228</v>
      </c>
      <c r="O52" s="2492">
        <f t="shared" si="16"/>
        <v>44197</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2518</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412" t="s">
        <v>2519</v>
      </c>
      <c r="C76" s="2413" t="s">
        <v>2520</v>
      </c>
      <c r="D76" s="2413" t="s">
        <v>2521</v>
      </c>
      <c r="E76" s="2413" t="s">
        <v>2522</v>
      </c>
      <c r="F76" s="2413" t="s">
        <v>2523</v>
      </c>
      <c r="G76" s="2413" t="s">
        <v>2524</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2517</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493" t="s">
        <v>781</v>
      </c>
      <c r="D4" s="3494"/>
      <c r="E4" s="3493" t="s">
        <v>782</v>
      </c>
      <c r="F4" s="3494"/>
      <c r="G4" s="3493" t="s">
        <v>783</v>
      </c>
      <c r="H4" s="3494"/>
      <c r="I4" s="3493" t="s">
        <v>784</v>
      </c>
      <c r="J4" s="3494"/>
      <c r="K4" s="491" t="s">
        <v>785</v>
      </c>
      <c r="L4" s="1989"/>
      <c r="M4" s="1990"/>
      <c r="N4" s="1990"/>
      <c r="O4" s="1990"/>
      <c r="P4" s="3495" t="s">
        <v>786</v>
      </c>
      <c r="Q4" s="3496"/>
      <c r="R4" s="3501" t="s">
        <v>782</v>
      </c>
      <c r="S4" s="3502"/>
      <c r="T4" s="3501" t="s">
        <v>783</v>
      </c>
      <c r="U4" s="3502"/>
      <c r="V4" s="3488" t="s">
        <v>784</v>
      </c>
      <c r="W4" s="3488"/>
      <c r="X4" s="1477"/>
      <c r="Y4" s="3501" t="s">
        <v>786</v>
      </c>
      <c r="Z4" s="3502"/>
      <c r="AA4" s="3490" t="s">
        <v>782</v>
      </c>
      <c r="AB4" s="3491" t="s">
        <v>783</v>
      </c>
      <c r="AC4" s="3490" t="s">
        <v>784</v>
      </c>
    </row>
    <row r="5" spans="1:29" ht="15">
      <c r="A5" s="492"/>
      <c r="B5" s="493"/>
      <c r="C5" s="3509" t="s">
        <v>2873</v>
      </c>
      <c r="D5" s="3510"/>
      <c r="E5" s="3509" t="s">
        <v>2874</v>
      </c>
      <c r="F5" s="3510"/>
      <c r="G5" s="3509" t="s">
        <v>2875</v>
      </c>
      <c r="H5" s="3510"/>
      <c r="I5" s="3509" t="s">
        <v>2876</v>
      </c>
      <c r="J5" s="3510"/>
      <c r="K5" s="491"/>
      <c r="L5" s="1989"/>
      <c r="M5" s="1990"/>
      <c r="N5" s="1990"/>
      <c r="O5" s="1990"/>
      <c r="P5" s="3497"/>
      <c r="Q5" s="3498"/>
      <c r="R5" s="3503"/>
      <c r="S5" s="3504"/>
      <c r="T5" s="3503"/>
      <c r="U5" s="3504"/>
      <c r="V5" s="3488"/>
      <c r="W5" s="3488"/>
      <c r="X5" s="1477"/>
      <c r="Y5" s="3503"/>
      <c r="Z5" s="3504"/>
      <c r="AA5" s="3491"/>
      <c r="AB5" s="3491"/>
      <c r="AC5" s="3491"/>
    </row>
    <row r="6" spans="1:29" ht="15.75" thickBot="1">
      <c r="A6" s="494"/>
      <c r="B6" s="495"/>
      <c r="C6" s="3507" t="s">
        <v>2877</v>
      </c>
      <c r="D6" s="3508"/>
      <c r="E6" s="3511" t="s">
        <v>2877</v>
      </c>
      <c r="F6" s="3512"/>
      <c r="G6" s="3507" t="s">
        <v>2877</v>
      </c>
      <c r="H6" s="3508"/>
      <c r="I6" s="3507" t="s">
        <v>2877</v>
      </c>
      <c r="J6" s="3508"/>
      <c r="K6" s="491" t="s">
        <v>511</v>
      </c>
      <c r="L6" s="1989"/>
      <c r="M6" s="1990"/>
      <c r="N6" s="1990"/>
      <c r="O6" s="1990"/>
      <c r="P6" s="3499"/>
      <c r="Q6" s="3500"/>
      <c r="R6" s="3503"/>
      <c r="S6" s="3504"/>
      <c r="T6" s="3505"/>
      <c r="U6" s="3506"/>
      <c r="V6" s="3488"/>
      <c r="W6" s="3488"/>
      <c r="X6" s="1477"/>
      <c r="Y6" s="3505"/>
      <c r="Z6" s="3506"/>
      <c r="AA6" s="3492"/>
      <c r="AB6" s="3492"/>
      <c r="AC6" s="3492"/>
    </row>
    <row r="7" spans="1:29" s="1186" customFormat="1" ht="15.75" thickBot="1">
      <c r="A7" s="2600"/>
      <c r="B7" s="2607" t="s">
        <v>512</v>
      </c>
      <c r="C7" s="496">
        <f>'数据-取费表'!B2</f>
        <v>44574</v>
      </c>
      <c r="D7" s="497">
        <v>100</v>
      </c>
      <c r="E7" s="498"/>
      <c r="F7" s="499">
        <f>SUMIF(48:48,YEAR(E7)&amp;"-"&amp;MONTH(E7),49:49)</f>
        <v>0</v>
      </c>
      <c r="G7" s="500"/>
      <c r="H7" s="497">
        <f>SUMIF(48:48,YEAR(G7)&amp;"-"&amp;MONTH(G7),49:49)</f>
        <v>0</v>
      </c>
      <c r="I7" s="500"/>
      <c r="J7" s="497">
        <f>SUMIF(48:48,YEAR(I7)&amp;"-"&amp;MONTH(I7),49:49)</f>
        <v>0</v>
      </c>
      <c r="K7" s="501"/>
      <c r="L7" s="1991"/>
      <c r="M7" s="1992"/>
      <c r="N7" s="1992"/>
      <c r="O7" s="1992"/>
      <c r="P7" s="3518" t="s">
        <v>513</v>
      </c>
      <c r="Q7" s="3520"/>
      <c r="R7" s="1478" t="s">
        <v>8</v>
      </c>
      <c r="S7" s="1479">
        <f t="shared" ref="S7:S14" si="0">F7</f>
        <v>0</v>
      </c>
      <c r="T7" s="1478" t="s">
        <v>8</v>
      </c>
      <c r="U7" s="1479">
        <f t="shared" ref="U7:U14" si="1">H7</f>
        <v>0</v>
      </c>
      <c r="V7" s="1478" t="s">
        <v>8</v>
      </c>
      <c r="W7" s="1479">
        <f t="shared" ref="W7:W14" si="2">J7</f>
        <v>0</v>
      </c>
      <c r="X7" s="1480"/>
      <c r="Y7" s="3518" t="s">
        <v>513</v>
      </c>
      <c r="Z7" s="3519"/>
      <c r="AA7" s="1481" t="e">
        <f>D7/F7</f>
        <v>#DIV/0!</v>
      </c>
      <c r="AB7" s="1481" t="e">
        <f>D7/H7</f>
        <v>#DIV/0!</v>
      </c>
      <c r="AC7" s="1481" t="e">
        <f>D7/J7</f>
        <v>#DIV/0!</v>
      </c>
    </row>
    <row r="8" spans="1:29" s="1186" customFormat="1" ht="15.75" thickBot="1">
      <c r="A8" s="2601"/>
      <c r="B8" s="2608"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518" t="s">
        <v>516</v>
      </c>
      <c r="Q8" s="3519"/>
      <c r="R8" s="1478" t="s">
        <v>8</v>
      </c>
      <c r="S8" s="1479">
        <f t="shared" si="0"/>
        <v>0</v>
      </c>
      <c r="T8" s="1478" t="s">
        <v>8</v>
      </c>
      <c r="U8" s="1479">
        <f t="shared" si="1"/>
        <v>0</v>
      </c>
      <c r="V8" s="1478" t="s">
        <v>8</v>
      </c>
      <c r="W8" s="1479">
        <f t="shared" si="2"/>
        <v>0</v>
      </c>
      <c r="X8" s="1480"/>
      <c r="Y8" s="3518" t="s">
        <v>516</v>
      </c>
      <c r="Z8" s="3519"/>
      <c r="AA8" s="1481" t="e">
        <f t="shared" ref="AA8:AA36" si="3">D8/F8</f>
        <v>#DIV/0!</v>
      </c>
      <c r="AB8" s="1481" t="e">
        <f t="shared" ref="AB8:AB36" si="4">D8/H8</f>
        <v>#DIV/0!</v>
      </c>
      <c r="AC8" s="1481" t="e">
        <f t="shared" ref="AC8:AC36" si="5">D8/J8</f>
        <v>#DIV/0!</v>
      </c>
    </row>
    <row r="9" spans="1:29" s="1186" customFormat="1" ht="15">
      <c r="A9" s="2602"/>
      <c r="B9" s="2609" t="s">
        <v>2715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487" t="s">
        <v>518</v>
      </c>
      <c r="Q9" s="1117" t="str">
        <f t="shared" ref="Q9:Q14" si="6">B9</f>
        <v>用途</v>
      </c>
      <c r="R9" s="1478" t="s">
        <v>8</v>
      </c>
      <c r="S9" s="1479">
        <f t="shared" si="0"/>
        <v>100</v>
      </c>
      <c r="T9" s="1478" t="s">
        <v>8</v>
      </c>
      <c r="U9" s="1479">
        <f t="shared" si="1"/>
        <v>100</v>
      </c>
      <c r="V9" s="1478" t="s">
        <v>8</v>
      </c>
      <c r="W9" s="1479">
        <f t="shared" si="2"/>
        <v>100</v>
      </c>
      <c r="X9" s="1480"/>
      <c r="Y9" s="3433" t="s">
        <v>519</v>
      </c>
      <c r="Z9" s="1116" t="str">
        <f t="shared" ref="Z9:Z14" si="7">Q9</f>
        <v>用途</v>
      </c>
      <c r="AA9" s="1481">
        <f t="shared" si="3"/>
        <v>1</v>
      </c>
      <c r="AB9" s="1481">
        <f t="shared" si="4"/>
        <v>1</v>
      </c>
      <c r="AC9" s="1481">
        <f t="shared" si="5"/>
        <v>1</v>
      </c>
    </row>
    <row r="10" spans="1:29" s="1267" customFormat="1" ht="27">
      <c r="A10" s="2603"/>
      <c r="B10" s="2608" t="s">
        <v>2716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487"/>
      <c r="Q10" s="1117" t="str">
        <f t="shared" si="6"/>
        <v>土地使用年限（年）</v>
      </c>
      <c r="R10" s="1478" t="s">
        <v>8</v>
      </c>
      <c r="S10" s="1479">
        <f t="shared" si="0"/>
        <v>100</v>
      </c>
      <c r="T10" s="1478" t="s">
        <v>8</v>
      </c>
      <c r="U10" s="1479">
        <f t="shared" si="1"/>
        <v>100</v>
      </c>
      <c r="V10" s="1478" t="s">
        <v>8</v>
      </c>
      <c r="W10" s="1479">
        <f t="shared" si="2"/>
        <v>100</v>
      </c>
      <c r="X10" s="1480"/>
      <c r="Y10" s="3433"/>
      <c r="Z10" s="1116" t="str">
        <f t="shared" si="7"/>
        <v>土地使用年限（年）</v>
      </c>
      <c r="AA10" s="1481">
        <f t="shared" si="3"/>
        <v>1</v>
      </c>
      <c r="AB10" s="1481">
        <f t="shared" si="4"/>
        <v>1</v>
      </c>
      <c r="AC10" s="1481">
        <f t="shared" si="5"/>
        <v>1</v>
      </c>
    </row>
    <row r="11" spans="1:29" ht="15">
      <c r="A11" s="2605"/>
      <c r="B11" s="2611">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487"/>
      <c r="Q11" s="1117">
        <f t="shared" si="6"/>
        <v>111</v>
      </c>
      <c r="R11" s="1478" t="s">
        <v>8</v>
      </c>
      <c r="S11" s="1479">
        <f t="shared" si="0"/>
        <v>100</v>
      </c>
      <c r="T11" s="1478" t="s">
        <v>8</v>
      </c>
      <c r="U11" s="1479">
        <f t="shared" si="1"/>
        <v>100</v>
      </c>
      <c r="V11" s="1478" t="s">
        <v>8</v>
      </c>
      <c r="W11" s="1479">
        <f t="shared" si="2"/>
        <v>100</v>
      </c>
      <c r="X11" s="1480"/>
      <c r="Y11" s="3433"/>
      <c r="Z11" s="1116">
        <f t="shared" si="7"/>
        <v>111</v>
      </c>
      <c r="AA11" s="1481">
        <f t="shared" si="3"/>
        <v>1</v>
      </c>
      <c r="AB11" s="1481">
        <f t="shared" si="4"/>
        <v>1</v>
      </c>
      <c r="AC11" s="1481">
        <f t="shared" si="5"/>
        <v>1</v>
      </c>
    </row>
    <row r="12" spans="1:29" s="1186" customFormat="1" ht="15">
      <c r="A12" s="2605"/>
      <c r="B12" s="2611">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487"/>
      <c r="Q12" s="1117">
        <f t="shared" si="6"/>
        <v>111</v>
      </c>
      <c r="R12" s="1478" t="s">
        <v>8</v>
      </c>
      <c r="S12" s="1479">
        <f t="shared" si="0"/>
        <v>100</v>
      </c>
      <c r="T12" s="1478" t="s">
        <v>8</v>
      </c>
      <c r="U12" s="1479">
        <f t="shared" si="1"/>
        <v>100</v>
      </c>
      <c r="V12" s="1478" t="s">
        <v>8</v>
      </c>
      <c r="W12" s="1479">
        <f t="shared" si="2"/>
        <v>100</v>
      </c>
      <c r="X12" s="1480"/>
      <c r="Y12" s="3433"/>
      <c r="Z12" s="1116">
        <f t="shared" si="7"/>
        <v>111</v>
      </c>
      <c r="AA12" s="1481">
        <f>D12/F12</f>
        <v>1</v>
      </c>
      <c r="AB12" s="1481">
        <f>D12/H12</f>
        <v>1</v>
      </c>
      <c r="AC12" s="1481">
        <f>D12/J12</f>
        <v>1</v>
      </c>
    </row>
    <row r="13" spans="1:29" ht="15.75" thickBot="1">
      <c r="A13" s="2606"/>
      <c r="B13" s="2612">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487"/>
      <c r="Q13" s="1117">
        <f t="shared" si="6"/>
        <v>111</v>
      </c>
      <c r="R13" s="1478" t="s">
        <v>8</v>
      </c>
      <c r="S13" s="1479">
        <f t="shared" si="0"/>
        <v>100</v>
      </c>
      <c r="T13" s="1478" t="s">
        <v>8</v>
      </c>
      <c r="U13" s="1479">
        <f t="shared" si="1"/>
        <v>100</v>
      </c>
      <c r="V13" s="1478" t="s">
        <v>8</v>
      </c>
      <c r="W13" s="1479">
        <f t="shared" si="2"/>
        <v>100</v>
      </c>
      <c r="X13" s="1480"/>
      <c r="Y13" s="3433"/>
      <c r="Z13" s="1116">
        <f t="shared" si="7"/>
        <v>111</v>
      </c>
      <c r="AA13" s="1481">
        <f t="shared" si="3"/>
        <v>1</v>
      </c>
      <c r="AB13" s="1481">
        <f t="shared" si="4"/>
        <v>1</v>
      </c>
      <c r="AC13" s="1481">
        <f t="shared" si="5"/>
        <v>1</v>
      </c>
    </row>
    <row r="14" spans="1:29" ht="85.5">
      <c r="A14" s="2598" t="s">
        <v>2713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521" t="s">
        <v>523</v>
      </c>
      <c r="Q14" s="1482" t="str">
        <f t="shared" si="6"/>
        <v>交通便捷度</v>
      </c>
      <c r="R14" s="1483" t="s">
        <v>8</v>
      </c>
      <c r="S14" s="1484">
        <f t="shared" si="0"/>
        <v>100</v>
      </c>
      <c r="T14" s="1483" t="s">
        <v>8</v>
      </c>
      <c r="U14" s="1484">
        <f t="shared" si="1"/>
        <v>100</v>
      </c>
      <c r="V14" s="1483" t="s">
        <v>8</v>
      </c>
      <c r="W14" s="1484">
        <f t="shared" si="2"/>
        <v>100</v>
      </c>
      <c r="X14" s="1477"/>
      <c r="Y14" s="3521"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522"/>
      <c r="Q15" s="1482"/>
      <c r="R15" s="1483"/>
      <c r="S15" s="1484"/>
      <c r="T15" s="1483"/>
      <c r="U15" s="1484"/>
      <c r="V15" s="1483"/>
      <c r="W15" s="1484"/>
      <c r="X15" s="1477"/>
      <c r="Y15" s="3522"/>
      <c r="Z15" s="1485"/>
      <c r="AA15" s="1486">
        <v>1</v>
      </c>
      <c r="AB15" s="1486">
        <v>1</v>
      </c>
      <c r="AC15" s="1486">
        <v>1</v>
      </c>
    </row>
    <row r="16" spans="1:29" ht="42.75">
      <c r="A16" s="492"/>
      <c r="B16" s="2418" t="s">
        <v>2507</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522"/>
      <c r="Q16" s="1482" t="str">
        <f>B16</f>
        <v>公共配套设施</v>
      </c>
      <c r="R16" s="1483" t="s">
        <v>8</v>
      </c>
      <c r="S16" s="1484">
        <f>F16</f>
        <v>100</v>
      </c>
      <c r="T16" s="1483" t="s">
        <v>8</v>
      </c>
      <c r="U16" s="1484">
        <f>H16</f>
        <v>100</v>
      </c>
      <c r="V16" s="1483" t="s">
        <v>8</v>
      </c>
      <c r="W16" s="1484">
        <f>J16</f>
        <v>100</v>
      </c>
      <c r="X16" s="1477"/>
      <c r="Y16" s="3522"/>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522"/>
      <c r="Q17" s="1482"/>
      <c r="R17" s="1483"/>
      <c r="S17" s="1484"/>
      <c r="T17" s="1483"/>
      <c r="U17" s="1484"/>
      <c r="V17" s="1483"/>
      <c r="W17" s="1484"/>
      <c r="X17" s="1477"/>
      <c r="Y17" s="3522"/>
      <c r="Z17" s="1485"/>
      <c r="AA17" s="1486">
        <v>1</v>
      </c>
      <c r="AB17" s="1486">
        <v>1</v>
      </c>
      <c r="AC17" s="1486">
        <v>1</v>
      </c>
    </row>
    <row r="18" spans="1:29" ht="28.5">
      <c r="A18" s="492"/>
      <c r="B18" s="2406" t="s">
        <v>2519</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522"/>
      <c r="Q18" s="2400" t="str">
        <f>B18</f>
        <v>基础设施水平</v>
      </c>
      <c r="R18" s="1483" t="s">
        <v>8</v>
      </c>
      <c r="S18" s="1484">
        <f>F18</f>
        <v>100</v>
      </c>
      <c r="T18" s="1483" t="s">
        <v>8</v>
      </c>
      <c r="U18" s="1484">
        <f>H18</f>
        <v>100</v>
      </c>
      <c r="V18" s="1483" t="s">
        <v>8</v>
      </c>
      <c r="W18" s="1484">
        <f>J18</f>
        <v>100</v>
      </c>
      <c r="X18" s="2402"/>
      <c r="Y18" s="3522"/>
      <c r="Z18" s="2401"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417"/>
      <c r="L19" s="1998"/>
      <c r="M19" s="1990"/>
      <c r="N19" s="1990"/>
      <c r="O19" s="1997"/>
      <c r="P19" s="3522"/>
      <c r="Q19" s="2400"/>
      <c r="R19" s="1483"/>
      <c r="S19" s="1484"/>
      <c r="T19" s="1483"/>
      <c r="U19" s="1484"/>
      <c r="V19" s="1483"/>
      <c r="W19" s="1484"/>
      <c r="X19" s="2402"/>
      <c r="Y19" s="3522"/>
      <c r="Z19" s="2401"/>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522"/>
      <c r="Q20" s="1482" t="str">
        <f>B20</f>
        <v>自然及人文环境</v>
      </c>
      <c r="R20" s="1483" t="s">
        <v>8</v>
      </c>
      <c r="S20" s="1484">
        <f>F20</f>
        <v>100</v>
      </c>
      <c r="T20" s="1483" t="s">
        <v>8</v>
      </c>
      <c r="U20" s="1484">
        <f>H20</f>
        <v>100</v>
      </c>
      <c r="V20" s="1483" t="s">
        <v>8</v>
      </c>
      <c r="W20" s="1484">
        <f>J20</f>
        <v>100</v>
      </c>
      <c r="X20" s="1477"/>
      <c r="Y20" s="3522"/>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522"/>
      <c r="Q21" s="1482"/>
      <c r="R21" s="1483"/>
      <c r="S21" s="1484"/>
      <c r="T21" s="1483"/>
      <c r="U21" s="1484"/>
      <c r="V21" s="1483"/>
      <c r="W21" s="1484"/>
      <c r="X21" s="1477"/>
      <c r="Y21" s="3522"/>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522"/>
      <c r="Q22" s="1482" t="str">
        <f>B22</f>
        <v>楼层</v>
      </c>
      <c r="R22" s="1483" t="s">
        <v>8</v>
      </c>
      <c r="S22" s="1484">
        <f>F22</f>
        <v>100</v>
      </c>
      <c r="T22" s="1483" t="s">
        <v>8</v>
      </c>
      <c r="U22" s="1484">
        <f>H22</f>
        <v>100</v>
      </c>
      <c r="V22" s="1483" t="s">
        <v>8</v>
      </c>
      <c r="W22" s="1484">
        <f>J22</f>
        <v>100</v>
      </c>
      <c r="X22" s="1477"/>
      <c r="Y22" s="3522"/>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522"/>
      <c r="Q23" s="1482">
        <f>B23</f>
        <v>111</v>
      </c>
      <c r="R23" s="1483" t="s">
        <v>8</v>
      </c>
      <c r="S23" s="1484">
        <f>F23</f>
        <v>100</v>
      </c>
      <c r="T23" s="1483" t="s">
        <v>8</v>
      </c>
      <c r="U23" s="1484">
        <f>H23</f>
        <v>100</v>
      </c>
      <c r="V23" s="1483" t="s">
        <v>8</v>
      </c>
      <c r="W23" s="1484">
        <f>J23</f>
        <v>100</v>
      </c>
      <c r="X23" s="1477"/>
      <c r="Y23" s="3522"/>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522"/>
      <c r="Q24" s="1482">
        <f t="shared" ref="Q24:Q36" si="11">B24</f>
        <v>111</v>
      </c>
      <c r="R24" s="1483" t="s">
        <v>8</v>
      </c>
      <c r="S24" s="1484">
        <f>F24</f>
        <v>100</v>
      </c>
      <c r="T24" s="1483" t="s">
        <v>8</v>
      </c>
      <c r="U24" s="1484">
        <f>H24</f>
        <v>100</v>
      </c>
      <c r="V24" s="1483" t="s">
        <v>8</v>
      </c>
      <c r="W24" s="1484">
        <f>J24</f>
        <v>100</v>
      </c>
      <c r="X24" s="1477"/>
      <c r="Y24" s="3522"/>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522"/>
      <c r="Q25" s="1117">
        <f t="shared" si="11"/>
        <v>111</v>
      </c>
      <c r="R25" s="1478" t="s">
        <v>8</v>
      </c>
      <c r="S25" s="1479">
        <f>F25</f>
        <v>100</v>
      </c>
      <c r="T25" s="1478" t="s">
        <v>8</v>
      </c>
      <c r="U25" s="1479">
        <f>H25</f>
        <v>100</v>
      </c>
      <c r="V25" s="1478" t="s">
        <v>8</v>
      </c>
      <c r="W25" s="1479">
        <f>J25</f>
        <v>100</v>
      </c>
      <c r="X25" s="1480"/>
      <c r="Y25" s="3522"/>
      <c r="Z25" s="1116">
        <f>Q25</f>
        <v>111</v>
      </c>
      <c r="AA25" s="1486">
        <f>D25/F25</f>
        <v>1</v>
      </c>
      <c r="AB25" s="1486">
        <f>D25/H25</f>
        <v>1</v>
      </c>
      <c r="AC25" s="1486">
        <f>D25/J25</f>
        <v>1</v>
      </c>
    </row>
    <row r="26" spans="1:29" ht="15">
      <c r="A26" s="2595" t="s">
        <v>2714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523"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524"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524"/>
      <c r="Q27" s="1511" t="str">
        <f t="shared" si="11"/>
        <v>项目停车位配比</v>
      </c>
      <c r="R27" s="1487" t="s">
        <v>8</v>
      </c>
      <c r="S27" s="1488">
        <f t="shared" si="12"/>
        <v>100</v>
      </c>
      <c r="T27" s="1487" t="s">
        <v>8</v>
      </c>
      <c r="U27" s="1488">
        <f t="shared" si="13"/>
        <v>100</v>
      </c>
      <c r="V27" s="1487" t="s">
        <v>8</v>
      </c>
      <c r="W27" s="1488">
        <f t="shared" si="14"/>
        <v>100</v>
      </c>
      <c r="X27" s="1489"/>
      <c r="Y27" s="3524"/>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524"/>
      <c r="Q28" s="1482" t="str">
        <f t="shared" si="11"/>
        <v>公共部分装修</v>
      </c>
      <c r="R28" s="1483" t="s">
        <v>8</v>
      </c>
      <c r="S28" s="1484">
        <f t="shared" si="12"/>
        <v>100</v>
      </c>
      <c r="T28" s="1483" t="s">
        <v>8</v>
      </c>
      <c r="U28" s="1484">
        <f t="shared" si="13"/>
        <v>100</v>
      </c>
      <c r="V28" s="1483" t="s">
        <v>8</v>
      </c>
      <c r="W28" s="1484">
        <f t="shared" si="14"/>
        <v>100</v>
      </c>
      <c r="X28" s="1477"/>
      <c r="Y28" s="3524"/>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524"/>
      <c r="Q29" s="1482" t="str">
        <f t="shared" si="11"/>
        <v>成新率</v>
      </c>
      <c r="R29" s="1483" t="s">
        <v>8</v>
      </c>
      <c r="S29" s="1484" t="e">
        <f t="shared" si="12"/>
        <v>#N/A</v>
      </c>
      <c r="T29" s="1483" t="s">
        <v>8</v>
      </c>
      <c r="U29" s="1484" t="e">
        <f t="shared" si="13"/>
        <v>#N/A</v>
      </c>
      <c r="V29" s="1483" t="s">
        <v>8</v>
      </c>
      <c r="W29" s="1484" t="e">
        <f t="shared" si="14"/>
        <v>#N/A</v>
      </c>
      <c r="X29" s="1477"/>
      <c r="Y29" s="3524"/>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524"/>
      <c r="Q30" s="1482" t="str">
        <f t="shared" si="11"/>
        <v>物业等级</v>
      </c>
      <c r="R30" s="1483" t="s">
        <v>8</v>
      </c>
      <c r="S30" s="1484">
        <f t="shared" si="12"/>
        <v>100</v>
      </c>
      <c r="T30" s="1483" t="s">
        <v>8</v>
      </c>
      <c r="U30" s="1484">
        <f t="shared" si="13"/>
        <v>100</v>
      </c>
      <c r="V30" s="1483" t="s">
        <v>8</v>
      </c>
      <c r="W30" s="1484">
        <f t="shared" si="14"/>
        <v>100</v>
      </c>
      <c r="X30" s="1477"/>
      <c r="Y30" s="3524"/>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524"/>
      <c r="Q31" s="1117" t="str">
        <f t="shared" si="11"/>
        <v>停车位面积</v>
      </c>
      <c r="R31" s="1478" t="s">
        <v>8</v>
      </c>
      <c r="S31" s="1479" t="e">
        <f t="shared" si="12"/>
        <v>#N/A</v>
      </c>
      <c r="T31" s="1478" t="s">
        <v>8</v>
      </c>
      <c r="U31" s="1479" t="e">
        <f t="shared" si="13"/>
        <v>#N/A</v>
      </c>
      <c r="V31" s="1478" t="s">
        <v>8</v>
      </c>
      <c r="W31" s="1479" t="e">
        <f t="shared" si="14"/>
        <v>#N/A</v>
      </c>
      <c r="X31" s="1480"/>
      <c r="Y31" s="3524"/>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524" t="s">
        <v>533</v>
      </c>
      <c r="Q32" s="1482" t="str">
        <f t="shared" si="11"/>
        <v>车位类型</v>
      </c>
      <c r="R32" s="1483" t="s">
        <v>8</v>
      </c>
      <c r="S32" s="1484">
        <f t="shared" si="12"/>
        <v>100</v>
      </c>
      <c r="T32" s="1483" t="s">
        <v>8</v>
      </c>
      <c r="U32" s="1484">
        <f t="shared" si="13"/>
        <v>100</v>
      </c>
      <c r="V32" s="1483" t="s">
        <v>8</v>
      </c>
      <c r="W32" s="1484">
        <f t="shared" si="14"/>
        <v>100</v>
      </c>
      <c r="X32" s="1477"/>
      <c r="Y32" s="3524"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524"/>
      <c r="Q33" s="1482" t="str">
        <f t="shared" si="11"/>
        <v>是否直接入户</v>
      </c>
      <c r="R33" s="1483" t="s">
        <v>8</v>
      </c>
      <c r="S33" s="1484">
        <f t="shared" si="12"/>
        <v>100</v>
      </c>
      <c r="T33" s="1483" t="s">
        <v>8</v>
      </c>
      <c r="U33" s="1484">
        <f t="shared" si="13"/>
        <v>100</v>
      </c>
      <c r="V33" s="1483" t="s">
        <v>8</v>
      </c>
      <c r="W33" s="1484">
        <f t="shared" si="14"/>
        <v>100</v>
      </c>
      <c r="X33" s="1477"/>
      <c r="Y33" s="3524"/>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524"/>
      <c r="Q34" s="1482">
        <f t="shared" si="11"/>
        <v>111</v>
      </c>
      <c r="R34" s="1483" t="s">
        <v>8</v>
      </c>
      <c r="S34" s="1484">
        <f t="shared" si="12"/>
        <v>100</v>
      </c>
      <c r="T34" s="1483" t="s">
        <v>8</v>
      </c>
      <c r="U34" s="1484">
        <f t="shared" si="13"/>
        <v>100</v>
      </c>
      <c r="V34" s="1483" t="s">
        <v>8</v>
      </c>
      <c r="W34" s="1484">
        <f t="shared" si="14"/>
        <v>100</v>
      </c>
      <c r="X34" s="1477"/>
      <c r="Y34" s="3524"/>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524"/>
      <c r="Q35" s="1511">
        <f t="shared" si="11"/>
        <v>111</v>
      </c>
      <c r="R35" s="1487" t="s">
        <v>8</v>
      </c>
      <c r="S35" s="1488">
        <f t="shared" si="12"/>
        <v>100</v>
      </c>
      <c r="T35" s="1487" t="s">
        <v>8</v>
      </c>
      <c r="U35" s="1488">
        <f t="shared" si="13"/>
        <v>100</v>
      </c>
      <c r="V35" s="1487" t="s">
        <v>8</v>
      </c>
      <c r="W35" s="1488">
        <f t="shared" si="14"/>
        <v>100</v>
      </c>
      <c r="X35" s="1489"/>
      <c r="Y35" s="3524"/>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524"/>
      <c r="Q36" s="1482">
        <f t="shared" si="11"/>
        <v>111</v>
      </c>
      <c r="R36" s="1483" t="s">
        <v>8</v>
      </c>
      <c r="S36" s="1484">
        <f t="shared" si="12"/>
        <v>100</v>
      </c>
      <c r="T36" s="1483" t="s">
        <v>8</v>
      </c>
      <c r="U36" s="1484">
        <f t="shared" si="13"/>
        <v>100</v>
      </c>
      <c r="V36" s="1483" t="s">
        <v>8</v>
      </c>
      <c r="W36" s="1484">
        <f t="shared" si="14"/>
        <v>100</v>
      </c>
      <c r="X36" s="1477"/>
      <c r="Y36" s="3524"/>
      <c r="Z36" s="1485">
        <f t="shared" si="15"/>
        <v>111</v>
      </c>
      <c r="AA36" s="1486">
        <f t="shared" si="3"/>
        <v>1</v>
      </c>
      <c r="AB36" s="1486">
        <f t="shared" si="4"/>
        <v>1</v>
      </c>
      <c r="AC36" s="1486">
        <f t="shared" si="5"/>
        <v>1</v>
      </c>
    </row>
    <row r="37" spans="1:29" ht="15">
      <c r="A37" s="1735" t="s">
        <v>2051</v>
      </c>
      <c r="B37" s="1736" t="s">
        <v>2052</v>
      </c>
      <c r="C37" s="2441" t="s">
        <v>1</v>
      </c>
      <c r="D37" s="2442"/>
      <c r="E37" s="2443"/>
      <c r="F37" s="2444"/>
      <c r="G37" s="2445"/>
      <c r="H37" s="2446"/>
      <c r="I37" s="2443"/>
      <c r="J37" s="2446"/>
      <c r="K37" s="1516"/>
      <c r="L37" s="2000"/>
      <c r="M37" s="2001"/>
      <c r="N37" s="1990"/>
      <c r="O37" s="2001"/>
      <c r="P37" s="3487" t="str">
        <f>A37</f>
        <v>成交单价</v>
      </c>
      <c r="Q37" s="3487"/>
      <c r="R37" s="3627">
        <f>E37</f>
        <v>0</v>
      </c>
      <c r="S37" s="3627"/>
      <c r="T37" s="3627">
        <f>G37</f>
        <v>0</v>
      </c>
      <c r="U37" s="3627"/>
      <c r="V37" s="3627">
        <f>I37</f>
        <v>0</v>
      </c>
      <c r="W37" s="3627"/>
      <c r="X37" s="1472"/>
      <c r="Y37" s="1491"/>
      <c r="Z37" s="1472"/>
      <c r="AA37" s="1472"/>
      <c r="AB37" s="1472"/>
      <c r="AC37" s="1472"/>
    </row>
    <row r="38" spans="1:29" ht="15.75" thickBot="1">
      <c r="A38" s="592" t="s">
        <v>2719</v>
      </c>
      <c r="B38" s="860"/>
      <c r="C38" s="2447" t="e">
        <f>R39</f>
        <v>#DIV/0!</v>
      </c>
      <c r="D38" s="2982" t="s">
        <v>2946</v>
      </c>
      <c r="E38" s="2448" t="e">
        <f>R38</f>
        <v>#DIV/0!</v>
      </c>
      <c r="F38" s="2983"/>
      <c r="G38" s="2447" t="e">
        <f>T38</f>
        <v>#DIV/0!</v>
      </c>
      <c r="H38" s="2983"/>
      <c r="I38" s="2448" t="e">
        <f>V38</f>
        <v>#DIV/0!</v>
      </c>
      <c r="J38" s="2983"/>
      <c r="K38" s="2991">
        <f>F38+H38+J38</f>
        <v>0</v>
      </c>
      <c r="L38" s="2000"/>
      <c r="M38" s="2001"/>
      <c r="N38" s="2001"/>
      <c r="O38" s="2001"/>
      <c r="P38" s="3487" t="str">
        <f>A38</f>
        <v>比较价格（元/平方米）</v>
      </c>
      <c r="Q38" s="3487"/>
      <c r="R38" s="3627" t="e">
        <f>IF(F1="售价",ROUND(PRODUCT(R37,AA7:AA36),0),ROUND(PRODUCT(R37,AA7:AA36),1))</f>
        <v>#DIV/0!</v>
      </c>
      <c r="S38" s="3627"/>
      <c r="T38" s="3627" t="e">
        <f>IF(F1="售价",ROUND(PRODUCT(T37,AB7:AB36),0),ROUND(PRODUCT(T37,AB7:AB36),1))</f>
        <v>#DIV/0!</v>
      </c>
      <c r="U38" s="3627"/>
      <c r="V38" s="3627" t="e">
        <f>IF(F1="售价",ROUND(PRODUCT(V37,AC7:AC36),0),ROUND(PRODUCT(V37,AC7:AC36),1))</f>
        <v>#DIV/0!</v>
      </c>
      <c r="W38" s="3627"/>
      <c r="X38" s="1472"/>
      <c r="Y38" s="1472"/>
      <c r="Z38" s="1472"/>
      <c r="AA38" s="1472"/>
      <c r="AB38" s="1472"/>
      <c r="AC38" s="1472"/>
    </row>
    <row r="39" spans="1:29" ht="15.75" thickBot="1">
      <c r="A39" s="596" t="s">
        <v>2879</v>
      </c>
      <c r="B39" s="597"/>
      <c r="C39" s="2449" t="e">
        <f>R39</f>
        <v>#DIV/0!</v>
      </c>
      <c r="D39" s="2449"/>
      <c r="E39" s="2449"/>
      <c r="F39" s="2449"/>
      <c r="G39" s="2449"/>
      <c r="H39" s="2449"/>
      <c r="I39" s="2449"/>
      <c r="J39" s="2449"/>
      <c r="K39" s="1517"/>
      <c r="L39" s="2000"/>
      <c r="M39" s="2001"/>
      <c r="N39" s="2001"/>
      <c r="O39" s="2001"/>
      <c r="P39" s="3484" t="str">
        <f>A39</f>
        <v>估价对象XX用房的比较价格（楼面单价，元/平方米）</v>
      </c>
      <c r="Q39" s="3485"/>
      <c r="R39" s="3626" t="e">
        <f>IF(F1="售价",ROUND(IF(D38="简单平均",AVERAGE(R38:W38),R38*F38+T38*H38+V38*J38),0),ROUND(IF(D38="简单平均",AVERAGE(R38:V38),R38*F38+T38*H38+V38*J38),1))</f>
        <v>#DIV/0!</v>
      </c>
      <c r="S39" s="3626"/>
      <c r="T39" s="3626"/>
      <c r="U39" s="3626"/>
      <c r="V39" s="3626"/>
      <c r="W39" s="3626"/>
      <c r="X39" s="1472"/>
      <c r="Y39" s="1472"/>
      <c r="Z39" s="1472"/>
      <c r="AA39" s="1472"/>
      <c r="AB39" s="1472"/>
      <c r="AC39" s="1472"/>
    </row>
    <row r="40" spans="1:29">
      <c r="A40" s="3182"/>
      <c r="B40" s="3182"/>
      <c r="C40" s="3182"/>
      <c r="D40" s="3182"/>
      <c r="E40" s="3182"/>
      <c r="F40" s="3182"/>
      <c r="G40" s="3184"/>
      <c r="H40" s="3182"/>
      <c r="I40" s="3182"/>
      <c r="J40" s="3182"/>
      <c r="K40" s="3185"/>
      <c r="L40" s="2005"/>
      <c r="M40" s="2001"/>
      <c r="N40" s="2001"/>
      <c r="O40" s="2001"/>
      <c r="P40" s="2001"/>
      <c r="Q40" s="2001"/>
      <c r="R40" s="2001"/>
      <c r="S40" s="2001"/>
      <c r="T40" s="2001"/>
      <c r="U40" s="2001"/>
      <c r="V40" s="2001"/>
      <c r="W40" s="2001"/>
      <c r="X40" s="2001"/>
      <c r="Y40" s="2001"/>
      <c r="Z40" s="2001"/>
      <c r="AA40" s="2001"/>
      <c r="AB40" s="2001"/>
      <c r="AC40" s="2001"/>
    </row>
    <row r="41" spans="1:29">
      <c r="A41" s="3182"/>
      <c r="B41" s="3182"/>
      <c r="C41" s="3182"/>
      <c r="D41" s="3182"/>
      <c r="E41" s="3182"/>
      <c r="F41" s="3182"/>
      <c r="G41" s="3182"/>
      <c r="H41" s="3182"/>
      <c r="I41" s="3182"/>
      <c r="J41" s="3182"/>
      <c r="K41" s="3185"/>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82"/>
      <c r="B42" s="318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85"/>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82"/>
      <c r="B43" s="318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85"/>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83"/>
      <c r="B44" s="318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86"/>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90" t="str">
        <f>YEAR(C7)&amp;"-"&amp;MONTH(C7)</f>
        <v>2022-1</v>
      </c>
      <c r="D48" s="2492">
        <f>EDATE(C48,-1)</f>
        <v>44531</v>
      </c>
      <c r="E48" s="2492">
        <f t="shared" ref="E48:O48" si="16">EDATE(D48,-1)</f>
        <v>44501</v>
      </c>
      <c r="F48" s="2492">
        <f t="shared" si="16"/>
        <v>44470</v>
      </c>
      <c r="G48" s="2492">
        <f t="shared" si="16"/>
        <v>44440</v>
      </c>
      <c r="H48" s="2492">
        <f t="shared" si="16"/>
        <v>44409</v>
      </c>
      <c r="I48" s="2492">
        <f t="shared" si="16"/>
        <v>44378</v>
      </c>
      <c r="J48" s="2492">
        <f t="shared" si="16"/>
        <v>44348</v>
      </c>
      <c r="K48" s="2492">
        <f t="shared" si="16"/>
        <v>44317</v>
      </c>
      <c r="L48" s="2492">
        <f t="shared" si="16"/>
        <v>44287</v>
      </c>
      <c r="M48" s="2492">
        <f t="shared" si="16"/>
        <v>44256</v>
      </c>
      <c r="N48" s="2492">
        <f t="shared" si="16"/>
        <v>44228</v>
      </c>
      <c r="O48" s="2492">
        <f t="shared" si="16"/>
        <v>44197</v>
      </c>
      <c r="P48" s="2015"/>
      <c r="Q48" s="2016"/>
      <c r="R48" s="2016"/>
      <c r="S48" s="2016"/>
      <c r="T48" s="2016"/>
      <c r="U48" s="2016"/>
      <c r="V48" s="2016"/>
      <c r="W48" s="2016"/>
      <c r="X48" s="2016"/>
      <c r="Y48" s="2016"/>
      <c r="Z48" s="2016"/>
      <c r="AA48" s="2016"/>
      <c r="AB48" s="2016"/>
      <c r="AC48" s="2016"/>
    </row>
    <row r="49" spans="1:29" s="1186" customFormat="1" ht="15">
      <c r="A49" s="622"/>
      <c r="B49" s="623"/>
      <c r="C49" s="2491">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2518</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412" t="s">
        <v>2519</v>
      </c>
      <c r="C67" s="2413" t="s">
        <v>2520</v>
      </c>
      <c r="D67" s="2413" t="s">
        <v>2521</v>
      </c>
      <c r="E67" s="2413" t="s">
        <v>2522</v>
      </c>
      <c r="F67" s="2413" t="s">
        <v>2523</v>
      </c>
      <c r="G67" s="2413" t="s">
        <v>2524</v>
      </c>
      <c r="H67" s="649"/>
      <c r="I67" s="649"/>
      <c r="J67" s="649"/>
      <c r="K67" s="649"/>
      <c r="L67" s="649"/>
      <c r="M67" s="2416"/>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34818平方米。根据《建设工程规划许可证》[]、《出让合同》[]，估价对象规划建筑面积为104454平方米。</v>
      </c>
    </row>
    <row r="7" spans="1:4" ht="93.75">
      <c r="A7" s="2561" t="s">
        <v>2707</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2022年1月13日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根据《国有土地使用证》[]，估价对象（分摊）出让国有建设用地使用权面积为34818平方米。根据《建设工程规划许可证》[]、《出让合同》[]，估价对象规划建筑面积为104454平方米。</v>
      </c>
    </row>
    <row r="21" spans="1:1" ht="93.75">
      <c r="A21" s="25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63" t="s">
        <v>2708</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1月13日，在规划利用条件下、设定土地开发程度为红线外“七通”、宗地内场地，设定用途为，剩余土地使用年限为的出让国有建设用地使用权价格。</v>
      </c>
    </row>
    <row r="26" spans="1:1" ht="9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9" sqref="F9:F42"/>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493" t="s">
        <v>781</v>
      </c>
      <c r="D4" s="3494"/>
      <c r="E4" s="3549" t="s">
        <v>782</v>
      </c>
      <c r="F4" s="3550"/>
      <c r="G4" s="3493" t="s">
        <v>783</v>
      </c>
      <c r="H4" s="3494"/>
      <c r="I4" s="3493" t="s">
        <v>784</v>
      </c>
      <c r="J4" s="3494"/>
      <c r="K4" s="491" t="s">
        <v>785</v>
      </c>
      <c r="L4" s="1989"/>
      <c r="M4" s="1990"/>
      <c r="N4" s="1990"/>
      <c r="O4" s="1990"/>
      <c r="P4" s="3495" t="s">
        <v>786</v>
      </c>
      <c r="Q4" s="3496"/>
      <c r="R4" s="3501" t="s">
        <v>782</v>
      </c>
      <c r="S4" s="3502"/>
      <c r="T4" s="3501" t="s">
        <v>783</v>
      </c>
      <c r="U4" s="3502"/>
      <c r="V4" s="3488" t="s">
        <v>784</v>
      </c>
      <c r="W4" s="3488"/>
      <c r="X4" s="1477"/>
      <c r="Y4" s="3501" t="s">
        <v>786</v>
      </c>
      <c r="Z4" s="3502"/>
      <c r="AA4" s="3490" t="s">
        <v>782</v>
      </c>
      <c r="AB4" s="3491" t="s">
        <v>783</v>
      </c>
      <c r="AC4" s="3490" t="s">
        <v>784</v>
      </c>
    </row>
    <row r="5" spans="1:29" ht="15">
      <c r="A5" s="492"/>
      <c r="B5" s="493"/>
      <c r="C5" s="3509" t="s">
        <v>2873</v>
      </c>
      <c r="D5" s="3510"/>
      <c r="E5" s="3551" t="s">
        <v>2874</v>
      </c>
      <c r="F5" s="3552"/>
      <c r="G5" s="3509" t="s">
        <v>2875</v>
      </c>
      <c r="H5" s="3510"/>
      <c r="I5" s="3509" t="s">
        <v>2876</v>
      </c>
      <c r="J5" s="3510"/>
      <c r="K5" s="491"/>
      <c r="L5" s="1989"/>
      <c r="M5" s="1990"/>
      <c r="N5" s="1990"/>
      <c r="O5" s="1990"/>
      <c r="P5" s="3497"/>
      <c r="Q5" s="3498"/>
      <c r="R5" s="3503"/>
      <c r="S5" s="3504"/>
      <c r="T5" s="3503"/>
      <c r="U5" s="3504"/>
      <c r="V5" s="3488"/>
      <c r="W5" s="3488"/>
      <c r="X5" s="1477"/>
      <c r="Y5" s="3503"/>
      <c r="Z5" s="3504"/>
      <c r="AA5" s="3491"/>
      <c r="AB5" s="3491"/>
      <c r="AC5" s="3491"/>
    </row>
    <row r="6" spans="1:29" ht="15.75" thickBot="1">
      <c r="A6" s="494"/>
      <c r="B6" s="495"/>
      <c r="C6" s="3507" t="s">
        <v>2877</v>
      </c>
      <c r="D6" s="3508"/>
      <c r="E6" s="3547" t="s">
        <v>2877</v>
      </c>
      <c r="F6" s="3548"/>
      <c r="G6" s="3507" t="s">
        <v>2877</v>
      </c>
      <c r="H6" s="3508"/>
      <c r="I6" s="3507" t="s">
        <v>2877</v>
      </c>
      <c r="J6" s="3508"/>
      <c r="K6" s="491" t="s">
        <v>511</v>
      </c>
      <c r="L6" s="1989"/>
      <c r="M6" s="1990"/>
      <c r="N6" s="1990"/>
      <c r="O6" s="1990"/>
      <c r="P6" s="3499"/>
      <c r="Q6" s="3500"/>
      <c r="R6" s="3503"/>
      <c r="S6" s="3504"/>
      <c r="T6" s="3505"/>
      <c r="U6" s="3506"/>
      <c r="V6" s="3488"/>
      <c r="W6" s="3488"/>
      <c r="X6" s="1477"/>
      <c r="Y6" s="3505"/>
      <c r="Z6" s="3506"/>
      <c r="AA6" s="3492"/>
      <c r="AB6" s="3492"/>
      <c r="AC6" s="3492"/>
    </row>
    <row r="7" spans="1:29" s="1186" customFormat="1" ht="15.75" thickBot="1">
      <c r="A7" s="2600"/>
      <c r="B7" s="2607" t="s">
        <v>512</v>
      </c>
      <c r="C7" s="496">
        <f>'数据-取费表'!B2</f>
        <v>44574</v>
      </c>
      <c r="D7" s="497">
        <v>100</v>
      </c>
      <c r="E7" s="498"/>
      <c r="F7" s="499">
        <f>SUMIF(46:46,YEAR(E7)&amp;"-"&amp;MONTH(E7),47:47)</f>
        <v>0</v>
      </c>
      <c r="G7" s="500"/>
      <c r="H7" s="497">
        <f>SUMIF(46:46,YEAR(G7)&amp;"-"&amp;MONTH(G7),47:47)</f>
        <v>0</v>
      </c>
      <c r="I7" s="500"/>
      <c r="J7" s="497">
        <f>SUMIF(46:46,YEAR(I7)&amp;"-"&amp;MONTH(I7),47:47)</f>
        <v>0</v>
      </c>
      <c r="K7" s="501"/>
      <c r="L7" s="1991"/>
      <c r="M7" s="1992"/>
      <c r="N7" s="1992"/>
      <c r="O7" s="1992"/>
      <c r="P7" s="3518" t="s">
        <v>513</v>
      </c>
      <c r="Q7" s="3520"/>
      <c r="R7" s="1478" t="s">
        <v>8</v>
      </c>
      <c r="S7" s="1479">
        <f t="shared" ref="S7:S14" si="0">F7</f>
        <v>0</v>
      </c>
      <c r="T7" s="1478" t="s">
        <v>8</v>
      </c>
      <c r="U7" s="1479">
        <f t="shared" ref="U7:U14" si="1">H7</f>
        <v>0</v>
      </c>
      <c r="V7" s="1478" t="s">
        <v>8</v>
      </c>
      <c r="W7" s="1479">
        <f t="shared" ref="W7:W14" si="2">J7</f>
        <v>0</v>
      </c>
      <c r="X7" s="1480"/>
      <c r="Y7" s="3518" t="s">
        <v>513</v>
      </c>
      <c r="Z7" s="3519"/>
      <c r="AA7" s="1481" t="e">
        <f>D7/F7</f>
        <v>#DIV/0!</v>
      </c>
      <c r="AB7" s="1481" t="e">
        <f>D7/H7</f>
        <v>#DIV/0!</v>
      </c>
      <c r="AC7" s="1481" t="e">
        <f>D7/J7</f>
        <v>#DIV/0!</v>
      </c>
    </row>
    <row r="8" spans="1:29" s="1186" customFormat="1" ht="15.75" thickBot="1">
      <c r="A8" s="2601"/>
      <c r="B8" s="2608"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518" t="s">
        <v>516</v>
      </c>
      <c r="Q8" s="3519"/>
      <c r="R8" s="1478" t="s">
        <v>8</v>
      </c>
      <c r="S8" s="1479">
        <f t="shared" si="0"/>
        <v>0</v>
      </c>
      <c r="T8" s="1478" t="s">
        <v>8</v>
      </c>
      <c r="U8" s="1479">
        <f t="shared" si="1"/>
        <v>0</v>
      </c>
      <c r="V8" s="1478" t="s">
        <v>8</v>
      </c>
      <c r="W8" s="1479">
        <f t="shared" si="2"/>
        <v>0</v>
      </c>
      <c r="X8" s="1480"/>
      <c r="Y8" s="3518" t="s">
        <v>516</v>
      </c>
      <c r="Z8" s="3519"/>
      <c r="AA8" s="1481" t="e">
        <f t="shared" ref="AA8:AA34" si="3">D8/F8</f>
        <v>#DIV/0!</v>
      </c>
      <c r="AB8" s="1481" t="e">
        <f t="shared" ref="AB8:AB34" si="4">D8/H8</f>
        <v>#DIV/0!</v>
      </c>
      <c r="AC8" s="1481" t="e">
        <f t="shared" ref="AC8:AC34" si="5">D8/J8</f>
        <v>#DIV/0!</v>
      </c>
    </row>
    <row r="9" spans="1:29" s="1186" customFormat="1" ht="15">
      <c r="A9" s="2602"/>
      <c r="B9" s="2609" t="s">
        <v>2715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487" t="s">
        <v>518</v>
      </c>
      <c r="Q9" s="1117" t="str">
        <f t="shared" ref="Q9:Q14" si="6">B9</f>
        <v>用途</v>
      </c>
      <c r="R9" s="1478" t="s">
        <v>8</v>
      </c>
      <c r="S9" s="1479">
        <f t="shared" si="0"/>
        <v>100</v>
      </c>
      <c r="T9" s="1478" t="s">
        <v>8</v>
      </c>
      <c r="U9" s="1479">
        <f t="shared" si="1"/>
        <v>100</v>
      </c>
      <c r="V9" s="1478" t="s">
        <v>8</v>
      </c>
      <c r="W9" s="1479">
        <f t="shared" si="2"/>
        <v>100</v>
      </c>
      <c r="X9" s="1480"/>
      <c r="Y9" s="3433" t="s">
        <v>519</v>
      </c>
      <c r="Z9" s="1116" t="str">
        <f t="shared" ref="Z9:Z14" si="7">Q9</f>
        <v>用途</v>
      </c>
      <c r="AA9" s="1481">
        <f t="shared" si="3"/>
        <v>1</v>
      </c>
      <c r="AB9" s="1481">
        <f t="shared" si="4"/>
        <v>1</v>
      </c>
      <c r="AC9" s="1481">
        <f t="shared" si="5"/>
        <v>1</v>
      </c>
    </row>
    <row r="10" spans="1:29" s="1267" customFormat="1" ht="27">
      <c r="A10" s="2603"/>
      <c r="B10" s="2608" t="s">
        <v>2716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487"/>
      <c r="Q10" s="1117" t="str">
        <f t="shared" si="6"/>
        <v>土地使用年限（年）</v>
      </c>
      <c r="R10" s="1478" t="s">
        <v>8</v>
      </c>
      <c r="S10" s="1479">
        <f t="shared" si="0"/>
        <v>100</v>
      </c>
      <c r="T10" s="1478" t="s">
        <v>8</v>
      </c>
      <c r="U10" s="1479">
        <f t="shared" si="1"/>
        <v>100</v>
      </c>
      <c r="V10" s="1478" t="s">
        <v>8</v>
      </c>
      <c r="W10" s="1479">
        <f t="shared" si="2"/>
        <v>100</v>
      </c>
      <c r="X10" s="1480"/>
      <c r="Y10" s="3433"/>
      <c r="Z10" s="1116" t="str">
        <f t="shared" si="7"/>
        <v>土地使用年限（年）</v>
      </c>
      <c r="AA10" s="1481">
        <f t="shared" si="3"/>
        <v>1</v>
      </c>
      <c r="AB10" s="1481">
        <f t="shared" si="4"/>
        <v>1</v>
      </c>
      <c r="AC10" s="1481">
        <f t="shared" si="5"/>
        <v>1</v>
      </c>
    </row>
    <row r="11" spans="1:29" ht="15">
      <c r="A11" s="2605"/>
      <c r="B11" s="2611">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487"/>
      <c r="Q11" s="1117">
        <f t="shared" si="6"/>
        <v>111</v>
      </c>
      <c r="R11" s="1478" t="s">
        <v>8</v>
      </c>
      <c r="S11" s="1479">
        <f t="shared" si="0"/>
        <v>100</v>
      </c>
      <c r="T11" s="1478" t="s">
        <v>8</v>
      </c>
      <c r="U11" s="1479">
        <f t="shared" si="1"/>
        <v>100</v>
      </c>
      <c r="V11" s="1478" t="s">
        <v>8</v>
      </c>
      <c r="W11" s="1479">
        <f t="shared" si="2"/>
        <v>100</v>
      </c>
      <c r="X11" s="1480"/>
      <c r="Y11" s="3433"/>
      <c r="Z11" s="1116">
        <f t="shared" si="7"/>
        <v>111</v>
      </c>
      <c r="AA11" s="1481">
        <f t="shared" si="3"/>
        <v>1</v>
      </c>
      <c r="AB11" s="1481">
        <f t="shared" si="4"/>
        <v>1</v>
      </c>
      <c r="AC11" s="1481">
        <f t="shared" si="5"/>
        <v>1</v>
      </c>
    </row>
    <row r="12" spans="1:29" s="1186" customFormat="1" ht="15">
      <c r="A12" s="2605"/>
      <c r="B12" s="2611">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487"/>
      <c r="Q12" s="1117">
        <f t="shared" si="6"/>
        <v>111</v>
      </c>
      <c r="R12" s="1478" t="s">
        <v>8</v>
      </c>
      <c r="S12" s="1479">
        <f t="shared" si="0"/>
        <v>100</v>
      </c>
      <c r="T12" s="1478" t="s">
        <v>8</v>
      </c>
      <c r="U12" s="1479">
        <f t="shared" si="1"/>
        <v>100</v>
      </c>
      <c r="V12" s="1478" t="s">
        <v>8</v>
      </c>
      <c r="W12" s="1479">
        <f t="shared" si="2"/>
        <v>100</v>
      </c>
      <c r="X12" s="1480"/>
      <c r="Y12" s="3433"/>
      <c r="Z12" s="1116">
        <f t="shared" si="7"/>
        <v>111</v>
      </c>
      <c r="AA12" s="1481">
        <f>D12/F12</f>
        <v>1</v>
      </c>
      <c r="AB12" s="1481">
        <f>D12/H12</f>
        <v>1</v>
      </c>
      <c r="AC12" s="1481">
        <f>D12/J12</f>
        <v>1</v>
      </c>
    </row>
    <row r="13" spans="1:29" ht="15.75" thickBot="1">
      <c r="A13" s="2606"/>
      <c r="B13" s="2612">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487"/>
      <c r="Q13" s="1117">
        <f t="shared" si="6"/>
        <v>111</v>
      </c>
      <c r="R13" s="1478" t="s">
        <v>8</v>
      </c>
      <c r="S13" s="1479">
        <f t="shared" si="0"/>
        <v>100</v>
      </c>
      <c r="T13" s="1478" t="s">
        <v>8</v>
      </c>
      <c r="U13" s="1479">
        <f t="shared" si="1"/>
        <v>100</v>
      </c>
      <c r="V13" s="1478" t="s">
        <v>8</v>
      </c>
      <c r="W13" s="1479">
        <f t="shared" si="2"/>
        <v>100</v>
      </c>
      <c r="X13" s="1480"/>
      <c r="Y13" s="3433"/>
      <c r="Z13" s="1116">
        <f t="shared" si="7"/>
        <v>111</v>
      </c>
      <c r="AA13" s="1481">
        <f t="shared" si="3"/>
        <v>1</v>
      </c>
      <c r="AB13" s="1481">
        <f t="shared" si="4"/>
        <v>1</v>
      </c>
      <c r="AC13" s="1481">
        <f t="shared" si="5"/>
        <v>1</v>
      </c>
    </row>
    <row r="14" spans="1:29" ht="85.5">
      <c r="A14" s="2598" t="s">
        <v>2713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521" t="s">
        <v>523</v>
      </c>
      <c r="Q14" s="1482" t="str">
        <f t="shared" si="6"/>
        <v>交通便捷度</v>
      </c>
      <c r="R14" s="1483" t="s">
        <v>8</v>
      </c>
      <c r="S14" s="1484">
        <f t="shared" si="0"/>
        <v>100</v>
      </c>
      <c r="T14" s="1483" t="s">
        <v>8</v>
      </c>
      <c r="U14" s="1484">
        <f t="shared" si="1"/>
        <v>100</v>
      </c>
      <c r="V14" s="1483" t="s">
        <v>8</v>
      </c>
      <c r="W14" s="1484">
        <f t="shared" si="2"/>
        <v>100</v>
      </c>
      <c r="X14" s="1477"/>
      <c r="Y14" s="3521"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522"/>
      <c r="Q15" s="1482"/>
      <c r="R15" s="1483"/>
      <c r="S15" s="1484"/>
      <c r="T15" s="1483"/>
      <c r="U15" s="1484"/>
      <c r="V15" s="1483"/>
      <c r="W15" s="1484"/>
      <c r="X15" s="1477"/>
      <c r="Y15" s="3522"/>
      <c r="Z15" s="1485"/>
      <c r="AA15" s="1486">
        <v>1</v>
      </c>
      <c r="AB15" s="1486">
        <v>1</v>
      </c>
      <c r="AC15" s="1486">
        <v>1</v>
      </c>
    </row>
    <row r="16" spans="1:29" ht="42.75">
      <c r="A16" s="509"/>
      <c r="B16" s="2418" t="s">
        <v>2507</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522"/>
      <c r="Q16" s="1482" t="str">
        <f>B16</f>
        <v>公共配套设施</v>
      </c>
      <c r="R16" s="1483" t="s">
        <v>8</v>
      </c>
      <c r="S16" s="1484">
        <f>F16</f>
        <v>100</v>
      </c>
      <c r="T16" s="1483" t="s">
        <v>8</v>
      </c>
      <c r="U16" s="1484">
        <f>H16</f>
        <v>100</v>
      </c>
      <c r="V16" s="1483" t="s">
        <v>8</v>
      </c>
      <c r="W16" s="1484">
        <f>J16</f>
        <v>100</v>
      </c>
      <c r="X16" s="1477"/>
      <c r="Y16" s="3522"/>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522"/>
      <c r="Q17" s="1482"/>
      <c r="R17" s="1483"/>
      <c r="S17" s="1484"/>
      <c r="T17" s="1483"/>
      <c r="U17" s="1484"/>
      <c r="V17" s="1483"/>
      <c r="W17" s="1484"/>
      <c r="X17" s="1477"/>
      <c r="Y17" s="3522"/>
      <c r="Z17" s="1485"/>
      <c r="AA17" s="1486">
        <v>1</v>
      </c>
      <c r="AB17" s="1486">
        <v>1</v>
      </c>
      <c r="AC17" s="1486">
        <v>1</v>
      </c>
    </row>
    <row r="18" spans="1:29" ht="28.5">
      <c r="A18" s="509"/>
      <c r="B18" s="2406" t="s">
        <v>2519</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522"/>
      <c r="Q18" s="2400" t="str">
        <f>B18</f>
        <v>基础设施水平</v>
      </c>
      <c r="R18" s="1483" t="s">
        <v>8</v>
      </c>
      <c r="S18" s="1484">
        <f>F18</f>
        <v>100</v>
      </c>
      <c r="T18" s="1483" t="s">
        <v>8</v>
      </c>
      <c r="U18" s="1484">
        <f>H18</f>
        <v>100</v>
      </c>
      <c r="V18" s="1483" t="s">
        <v>8</v>
      </c>
      <c r="W18" s="1484">
        <f>J18</f>
        <v>100</v>
      </c>
      <c r="X18" s="2402"/>
      <c r="Y18" s="3522"/>
      <c r="Z18" s="2401"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417"/>
      <c r="L19" s="1998"/>
      <c r="M19" s="1990"/>
      <c r="N19" s="1990"/>
      <c r="O19" s="1997"/>
      <c r="P19" s="3522"/>
      <c r="Q19" s="2400"/>
      <c r="R19" s="1483"/>
      <c r="S19" s="1484"/>
      <c r="T19" s="1483"/>
      <c r="U19" s="1484"/>
      <c r="V19" s="1483"/>
      <c r="W19" s="1484"/>
      <c r="X19" s="2402"/>
      <c r="Y19" s="3522"/>
      <c r="Z19" s="2401"/>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522"/>
      <c r="Q20" s="1482" t="str">
        <f>B20</f>
        <v>自然及人文环境</v>
      </c>
      <c r="R20" s="1483" t="s">
        <v>8</v>
      </c>
      <c r="S20" s="1484">
        <f>F20</f>
        <v>100</v>
      </c>
      <c r="T20" s="1483" t="s">
        <v>8</v>
      </c>
      <c r="U20" s="1484">
        <f>H20</f>
        <v>100</v>
      </c>
      <c r="V20" s="1483" t="s">
        <v>8</v>
      </c>
      <c r="W20" s="1484">
        <f>J20</f>
        <v>100</v>
      </c>
      <c r="X20" s="1477"/>
      <c r="Y20" s="3522"/>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522"/>
      <c r="Q21" s="1482"/>
      <c r="R21" s="1483"/>
      <c r="S21" s="1484"/>
      <c r="T21" s="1483"/>
      <c r="U21" s="1484"/>
      <c r="V21" s="1483"/>
      <c r="W21" s="1484"/>
      <c r="X21" s="1477"/>
      <c r="Y21" s="3522"/>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522"/>
      <c r="Q22" s="1482" t="str">
        <f>B22</f>
        <v>楼层</v>
      </c>
      <c r="R22" s="1483" t="s">
        <v>8</v>
      </c>
      <c r="S22" s="1484">
        <f>F22</f>
        <v>100</v>
      </c>
      <c r="T22" s="1483" t="s">
        <v>8</v>
      </c>
      <c r="U22" s="1484">
        <f>H22</f>
        <v>100</v>
      </c>
      <c r="V22" s="1483" t="s">
        <v>8</v>
      </c>
      <c r="W22" s="1484">
        <f>J22</f>
        <v>100</v>
      </c>
      <c r="X22" s="1477"/>
      <c r="Y22" s="3522"/>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522"/>
      <c r="Q23" s="1482">
        <f>B23</f>
        <v>111</v>
      </c>
      <c r="R23" s="1483" t="s">
        <v>8</v>
      </c>
      <c r="S23" s="1484">
        <f>F23</f>
        <v>100</v>
      </c>
      <c r="T23" s="1483" t="s">
        <v>8</v>
      </c>
      <c r="U23" s="1484">
        <f>H23</f>
        <v>100</v>
      </c>
      <c r="V23" s="1483" t="s">
        <v>8</v>
      </c>
      <c r="W23" s="1484">
        <f>J23</f>
        <v>100</v>
      </c>
      <c r="X23" s="1477"/>
      <c r="Y23" s="3522"/>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522"/>
      <c r="Q24" s="1482">
        <f t="shared" ref="Q24:Q34" si="11">B24</f>
        <v>111</v>
      </c>
      <c r="R24" s="1483" t="s">
        <v>8</v>
      </c>
      <c r="S24" s="1484">
        <f>F24</f>
        <v>100</v>
      </c>
      <c r="T24" s="1483" t="s">
        <v>8</v>
      </c>
      <c r="U24" s="1484">
        <f>H24</f>
        <v>100</v>
      </c>
      <c r="V24" s="1483" t="s">
        <v>8</v>
      </c>
      <c r="W24" s="1484">
        <f>J24</f>
        <v>100</v>
      </c>
      <c r="X24" s="1477"/>
      <c r="Y24" s="3522"/>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522"/>
      <c r="Q25" s="1117">
        <f t="shared" si="11"/>
        <v>111</v>
      </c>
      <c r="R25" s="1478" t="s">
        <v>8</v>
      </c>
      <c r="S25" s="1479">
        <f>F25</f>
        <v>100</v>
      </c>
      <c r="T25" s="1478" t="s">
        <v>8</v>
      </c>
      <c r="U25" s="1479">
        <f>H25</f>
        <v>100</v>
      </c>
      <c r="V25" s="1478" t="s">
        <v>8</v>
      </c>
      <c r="W25" s="1479">
        <f>J25</f>
        <v>100</v>
      </c>
      <c r="X25" s="1480"/>
      <c r="Y25" s="3522"/>
      <c r="Z25" s="1116">
        <f>Q25</f>
        <v>111</v>
      </c>
      <c r="AA25" s="1486">
        <f>D25/F25</f>
        <v>1</v>
      </c>
      <c r="AB25" s="1486">
        <f>D25/H25</f>
        <v>1</v>
      </c>
      <c r="AC25" s="1486">
        <f>D25/J25</f>
        <v>1</v>
      </c>
    </row>
    <row r="26" spans="1:29" ht="15">
      <c r="A26" s="2595" t="s">
        <v>2714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523"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524"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524"/>
      <c r="Q27" s="1511" t="str">
        <f t="shared" si="11"/>
        <v>成新率</v>
      </c>
      <c r="R27" s="1487" t="s">
        <v>8</v>
      </c>
      <c r="S27" s="1488" t="e">
        <f t="shared" si="12"/>
        <v>#N/A</v>
      </c>
      <c r="T27" s="1487" t="s">
        <v>8</v>
      </c>
      <c r="U27" s="1488" t="e">
        <f t="shared" si="13"/>
        <v>#N/A</v>
      </c>
      <c r="V27" s="1487" t="s">
        <v>8</v>
      </c>
      <c r="W27" s="1488" t="e">
        <f t="shared" si="14"/>
        <v>#N/A</v>
      </c>
      <c r="X27" s="1489"/>
      <c r="Y27" s="3524"/>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524"/>
      <c r="Q28" s="1482" t="str">
        <f t="shared" si="11"/>
        <v>物业等级</v>
      </c>
      <c r="R28" s="1483" t="s">
        <v>8</v>
      </c>
      <c r="S28" s="1484">
        <f t="shared" si="12"/>
        <v>100</v>
      </c>
      <c r="T28" s="1483" t="s">
        <v>8</v>
      </c>
      <c r="U28" s="1484">
        <f t="shared" si="13"/>
        <v>100</v>
      </c>
      <c r="V28" s="1483" t="s">
        <v>8</v>
      </c>
      <c r="W28" s="1484">
        <f t="shared" si="14"/>
        <v>100</v>
      </c>
      <c r="X28" s="1477"/>
      <c r="Y28" s="3524"/>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524"/>
      <c r="Q29" s="1482" t="str">
        <f t="shared" si="11"/>
        <v>有无电梯</v>
      </c>
      <c r="R29" s="1483" t="s">
        <v>8</v>
      </c>
      <c r="S29" s="1484">
        <f t="shared" si="12"/>
        <v>100</v>
      </c>
      <c r="T29" s="1483" t="s">
        <v>8</v>
      </c>
      <c r="U29" s="1484">
        <f t="shared" si="13"/>
        <v>100</v>
      </c>
      <c r="V29" s="1483" t="s">
        <v>8</v>
      </c>
      <c r="W29" s="1484">
        <f t="shared" si="14"/>
        <v>100</v>
      </c>
      <c r="X29" s="1477"/>
      <c r="Y29" s="3524"/>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524"/>
      <c r="Q30" s="1482" t="str">
        <f t="shared" si="11"/>
        <v>建筑面积</v>
      </c>
      <c r="R30" s="1483" t="s">
        <v>8</v>
      </c>
      <c r="S30" s="1484" t="e">
        <f t="shared" si="12"/>
        <v>#N/A</v>
      </c>
      <c r="T30" s="1483" t="s">
        <v>8</v>
      </c>
      <c r="U30" s="1484" t="e">
        <f t="shared" si="13"/>
        <v>#N/A</v>
      </c>
      <c r="V30" s="1483" t="s">
        <v>8</v>
      </c>
      <c r="W30" s="1484" t="e">
        <f t="shared" si="14"/>
        <v>#N/A</v>
      </c>
      <c r="X30" s="1477"/>
      <c r="Y30" s="3524"/>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524"/>
      <c r="Q31" s="1117" t="str">
        <f t="shared" si="11"/>
        <v>是否封闭</v>
      </c>
      <c r="R31" s="1478" t="s">
        <v>8</v>
      </c>
      <c r="S31" s="1479">
        <f t="shared" si="12"/>
        <v>100</v>
      </c>
      <c r="T31" s="1478" t="s">
        <v>8</v>
      </c>
      <c r="U31" s="1479">
        <f t="shared" si="13"/>
        <v>100</v>
      </c>
      <c r="V31" s="1478" t="s">
        <v>8</v>
      </c>
      <c r="W31" s="1479">
        <f t="shared" si="14"/>
        <v>100</v>
      </c>
      <c r="X31" s="1480"/>
      <c r="Y31" s="3524"/>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524" t="s">
        <v>533</v>
      </c>
      <c r="Q32" s="1482">
        <f t="shared" si="11"/>
        <v>111</v>
      </c>
      <c r="R32" s="1483" t="s">
        <v>8</v>
      </c>
      <c r="S32" s="1484">
        <f t="shared" si="12"/>
        <v>100</v>
      </c>
      <c r="T32" s="1483" t="s">
        <v>8</v>
      </c>
      <c r="U32" s="1484">
        <f t="shared" si="13"/>
        <v>100</v>
      </c>
      <c r="V32" s="1483" t="s">
        <v>8</v>
      </c>
      <c r="W32" s="1484">
        <f t="shared" si="14"/>
        <v>100</v>
      </c>
      <c r="X32" s="1477"/>
      <c r="Y32" s="3524"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524"/>
      <c r="Q33" s="1482">
        <f t="shared" si="11"/>
        <v>111</v>
      </c>
      <c r="R33" s="1483" t="s">
        <v>8</v>
      </c>
      <c r="S33" s="1484">
        <f t="shared" si="12"/>
        <v>100</v>
      </c>
      <c r="T33" s="1483" t="s">
        <v>8</v>
      </c>
      <c r="U33" s="1484">
        <f t="shared" si="13"/>
        <v>100</v>
      </c>
      <c r="V33" s="1483" t="s">
        <v>8</v>
      </c>
      <c r="W33" s="1484">
        <f t="shared" si="14"/>
        <v>100</v>
      </c>
      <c r="X33" s="1477"/>
      <c r="Y33" s="3524"/>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524"/>
      <c r="Q34" s="1482">
        <f t="shared" si="11"/>
        <v>111</v>
      </c>
      <c r="R34" s="1483" t="s">
        <v>8</v>
      </c>
      <c r="S34" s="1484">
        <f t="shared" si="12"/>
        <v>100</v>
      </c>
      <c r="T34" s="1483" t="s">
        <v>8</v>
      </c>
      <c r="U34" s="1484">
        <f t="shared" si="13"/>
        <v>100</v>
      </c>
      <c r="V34" s="1483" t="s">
        <v>8</v>
      </c>
      <c r="W34" s="1484">
        <f t="shared" si="14"/>
        <v>100</v>
      </c>
      <c r="X34" s="1477"/>
      <c r="Y34" s="3524"/>
      <c r="Z34" s="1485">
        <f t="shared" si="15"/>
        <v>111</v>
      </c>
      <c r="AA34" s="1486">
        <f t="shared" si="3"/>
        <v>1</v>
      </c>
      <c r="AB34" s="1486">
        <f t="shared" si="4"/>
        <v>1</v>
      </c>
      <c r="AC34" s="1486">
        <f t="shared" si="5"/>
        <v>1</v>
      </c>
    </row>
    <row r="35" spans="1:29" ht="15">
      <c r="A35" s="584" t="s">
        <v>719</v>
      </c>
      <c r="B35" s="859"/>
      <c r="C35" s="2441" t="s">
        <v>1</v>
      </c>
      <c r="D35" s="2442"/>
      <c r="E35" s="2443"/>
      <c r="F35" s="2444"/>
      <c r="G35" s="2445"/>
      <c r="H35" s="2446"/>
      <c r="I35" s="2443"/>
      <c r="J35" s="2446"/>
      <c r="K35" s="1516"/>
      <c r="L35" s="2000"/>
      <c r="M35" s="2001"/>
      <c r="N35" s="1990"/>
      <c r="O35" s="2001"/>
      <c r="P35" s="3487" t="str">
        <f>A35</f>
        <v>成交单价（元/平方米）</v>
      </c>
      <c r="Q35" s="3487"/>
      <c r="R35" s="3627">
        <f>E35</f>
        <v>0</v>
      </c>
      <c r="S35" s="3627"/>
      <c r="T35" s="3627">
        <f>G35</f>
        <v>0</v>
      </c>
      <c r="U35" s="3627"/>
      <c r="V35" s="3627">
        <f>I35</f>
        <v>0</v>
      </c>
      <c r="W35" s="3627"/>
      <c r="X35" s="1472"/>
      <c r="Y35" s="1491"/>
      <c r="Z35" s="1472"/>
      <c r="AA35" s="1472"/>
      <c r="AB35" s="1472"/>
      <c r="AC35" s="1472"/>
    </row>
    <row r="36" spans="1:29" ht="15.75" thickBot="1">
      <c r="A36" s="592" t="s">
        <v>2719</v>
      </c>
      <c r="B36" s="860"/>
      <c r="C36" s="2447" t="e">
        <f>R37</f>
        <v>#DIV/0!</v>
      </c>
      <c r="D36" s="2982" t="s">
        <v>2947</v>
      </c>
      <c r="E36" s="2448" t="e">
        <f>R36</f>
        <v>#DIV/0!</v>
      </c>
      <c r="F36" s="2983"/>
      <c r="G36" s="2447" t="e">
        <f>T36</f>
        <v>#DIV/0!</v>
      </c>
      <c r="H36" s="2983"/>
      <c r="I36" s="2448" t="e">
        <f>V36</f>
        <v>#DIV/0!</v>
      </c>
      <c r="J36" s="2983"/>
      <c r="K36" s="2991">
        <f>F36+H36+J36</f>
        <v>0</v>
      </c>
      <c r="L36" s="2000"/>
      <c r="M36" s="2001"/>
      <c r="N36" s="1990"/>
      <c r="O36" s="2001"/>
      <c r="P36" s="3487" t="str">
        <f>A36</f>
        <v>比较价格（元/平方米）</v>
      </c>
      <c r="Q36" s="3487"/>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1472"/>
      <c r="Y36" s="1472"/>
      <c r="Z36" s="1472"/>
      <c r="AA36" s="1472"/>
      <c r="AB36" s="1472"/>
      <c r="AC36" s="1472"/>
    </row>
    <row r="37" spans="1:29" ht="15.75" thickBot="1">
      <c r="A37" s="596" t="s">
        <v>2879</v>
      </c>
      <c r="B37" s="597"/>
      <c r="C37" s="2449" t="e">
        <f>R37</f>
        <v>#DIV/0!</v>
      </c>
      <c r="D37" s="2449"/>
      <c r="E37" s="2449"/>
      <c r="F37" s="2449"/>
      <c r="G37" s="2449"/>
      <c r="H37" s="2449"/>
      <c r="I37" s="2449"/>
      <c r="J37" s="2449"/>
      <c r="K37" s="1517"/>
      <c r="L37" s="2000"/>
      <c r="M37" s="2001"/>
      <c r="N37" s="2001"/>
      <c r="O37" s="2001"/>
      <c r="P37" s="3484" t="str">
        <f>A37</f>
        <v>估价对象XX用房的比较价格（楼面单价，元/平方米）</v>
      </c>
      <c r="Q37" s="3485"/>
      <c r="R37" s="3626" t="e">
        <f>IF(F1="售价",ROUND(IF(D36="简单平均",AVERAGE(R36:W36),R36*F36+T36*H36+V36*J36),0),ROUND(IF(D36="简单平均",AVERAGE(R36:V36),R36*F36+T36*H36+V36*J36),1))</f>
        <v>#DIV/0!</v>
      </c>
      <c r="S37" s="3626"/>
      <c r="T37" s="3626"/>
      <c r="U37" s="3626"/>
      <c r="V37" s="3626"/>
      <c r="W37" s="3626"/>
      <c r="X37" s="1472"/>
      <c r="Y37" s="1472"/>
      <c r="Z37" s="1472"/>
      <c r="AA37" s="1472"/>
      <c r="AB37" s="1472"/>
      <c r="AC37" s="1472"/>
    </row>
    <row r="38" spans="1:29">
      <c r="A38" s="3182"/>
      <c r="B38" s="3182"/>
      <c r="C38" s="3182"/>
      <c r="D38" s="3182"/>
      <c r="E38" s="3182"/>
      <c r="F38" s="3182"/>
      <c r="G38" s="3184"/>
      <c r="H38" s="3182"/>
      <c r="I38" s="3182"/>
      <c r="J38" s="3182"/>
      <c r="K38" s="3185"/>
      <c r="L38" s="2005"/>
      <c r="M38" s="2001"/>
      <c r="N38" s="2001"/>
      <c r="O38" s="2001"/>
      <c r="P38" s="2001"/>
      <c r="Q38" s="2001"/>
      <c r="R38" s="2001"/>
      <c r="S38" s="2001"/>
      <c r="T38" s="2001"/>
      <c r="U38" s="2001"/>
      <c r="V38" s="2001"/>
      <c r="W38" s="2001"/>
      <c r="X38" s="2001"/>
      <c r="Y38" s="2001"/>
      <c r="Z38" s="2001"/>
      <c r="AA38" s="2001"/>
      <c r="AB38" s="2001"/>
      <c r="AC38" s="2001"/>
    </row>
    <row r="39" spans="1:29">
      <c r="A39" s="3182"/>
      <c r="B39" s="3182"/>
      <c r="C39" s="3182"/>
      <c r="D39" s="3182"/>
      <c r="E39" s="3182"/>
      <c r="F39" s="3182"/>
      <c r="G39" s="3182"/>
      <c r="H39" s="3182"/>
      <c r="I39" s="3182"/>
      <c r="J39" s="3182"/>
      <c r="K39" s="3185"/>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82"/>
      <c r="B40" s="318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85"/>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82"/>
      <c r="B41" s="318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85"/>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83"/>
      <c r="B42" s="318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86"/>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90" t="str">
        <f>YEAR(C7)&amp;"-"&amp;MONTH(C7)</f>
        <v>2022-1</v>
      </c>
      <c r="D46" s="2492">
        <f>EDATE(C46,-1)</f>
        <v>44531</v>
      </c>
      <c r="E46" s="2492">
        <f t="shared" ref="E46:O46" si="16">EDATE(D46,-1)</f>
        <v>44501</v>
      </c>
      <c r="F46" s="2492">
        <f t="shared" si="16"/>
        <v>44470</v>
      </c>
      <c r="G46" s="2492">
        <f t="shared" si="16"/>
        <v>44440</v>
      </c>
      <c r="H46" s="2492">
        <f t="shared" si="16"/>
        <v>44409</v>
      </c>
      <c r="I46" s="2492">
        <f t="shared" si="16"/>
        <v>44378</v>
      </c>
      <c r="J46" s="2492">
        <f t="shared" si="16"/>
        <v>44348</v>
      </c>
      <c r="K46" s="2492">
        <f t="shared" si="16"/>
        <v>44317</v>
      </c>
      <c r="L46" s="2492">
        <f t="shared" si="16"/>
        <v>44287</v>
      </c>
      <c r="M46" s="2492">
        <f t="shared" si="16"/>
        <v>44256</v>
      </c>
      <c r="N46" s="2492">
        <f t="shared" si="16"/>
        <v>44228</v>
      </c>
      <c r="O46" s="2492">
        <f t="shared" si="16"/>
        <v>44197</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2518</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412" t="s">
        <v>2519</v>
      </c>
      <c r="C65" s="2413" t="s">
        <v>2520</v>
      </c>
      <c r="D65" s="2413" t="s">
        <v>2521</v>
      </c>
      <c r="E65" s="2413" t="s">
        <v>2522</v>
      </c>
      <c r="F65" s="2413" t="s">
        <v>2523</v>
      </c>
      <c r="G65" s="2413" t="s">
        <v>2524</v>
      </c>
      <c r="H65" s="649"/>
      <c r="I65" s="649"/>
      <c r="J65" s="649"/>
      <c r="K65" s="649"/>
      <c r="L65" s="649"/>
      <c r="M65" s="2416"/>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9" sqref="F9:F42"/>
      <selection pane="bottomLeft" activeCell="F9" sqref="F9:F42"/>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636" t="s">
        <v>2276</v>
      </c>
      <c r="D1" s="3637"/>
      <c r="E1" s="3637"/>
      <c r="F1" s="3637"/>
      <c r="G1" s="3637"/>
      <c r="H1" s="3637"/>
      <c r="I1" s="3637"/>
      <c r="J1" s="3637"/>
      <c r="K1" s="3637"/>
      <c r="L1" s="3637"/>
      <c r="M1" s="3637"/>
      <c r="N1" s="3637"/>
      <c r="O1" s="3637"/>
      <c r="P1" s="3637"/>
      <c r="Q1" s="3637"/>
      <c r="R1" s="3637"/>
      <c r="S1" s="3638"/>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828"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45" t="s">
        <v>2872</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47" t="s">
        <v>2871</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47" t="s">
        <v>2870</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46"/>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45" t="s">
        <v>2883</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45" t="s">
        <v>2869</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45" t="s">
        <v>2868</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633" t="s">
        <v>20</v>
      </c>
      <c r="D22" s="3634"/>
      <c r="E22" s="3634"/>
      <c r="F22" s="3634"/>
      <c r="G22" s="3634"/>
      <c r="H22" s="3634"/>
      <c r="I22" s="3634"/>
      <c r="J22" s="3634"/>
      <c r="K22" s="3634"/>
      <c r="L22" s="3634"/>
      <c r="M22" s="3634"/>
      <c r="N22" s="3634"/>
      <c r="O22" s="3634"/>
      <c r="P22" s="3634"/>
      <c r="Q22" s="3635"/>
      <c r="R22" s="474" t="e">
        <f>ROUND(S22*10000/B22,0)</f>
        <v>#DIV/0!</v>
      </c>
      <c r="S22" s="53">
        <f>SUM(S24:S10000)</f>
        <v>0</v>
      </c>
    </row>
    <row r="23" spans="1:45" s="1518" customFormat="1" ht="24">
      <c r="A23" s="17" t="s">
        <v>813</v>
      </c>
      <c r="B23" s="2829" t="s">
        <v>2891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44">
        <v>1</v>
      </c>
      <c r="D24" s="3245"/>
      <c r="E24" s="3244">
        <v>1</v>
      </c>
      <c r="F24" s="3245"/>
      <c r="G24" s="3244">
        <v>1</v>
      </c>
      <c r="H24" s="3245"/>
      <c r="I24" s="3244">
        <v>1</v>
      </c>
      <c r="J24" s="3245"/>
      <c r="K24" s="3244">
        <v>1</v>
      </c>
      <c r="L24" s="3245"/>
      <c r="M24" s="3244">
        <v>1</v>
      </c>
      <c r="N24" s="3245"/>
      <c r="O24" s="3244">
        <v>1</v>
      </c>
      <c r="P24" s="3245"/>
      <c r="Q24" s="3244">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9" sqref="F9:F42"/>
    </sheetView>
  </sheetViews>
  <sheetFormatPr defaultRowHeight="13.5"/>
  <cols>
    <col min="1" max="1" width="4.875" style="2629" customWidth="1"/>
    <col min="2" max="2" width="13.25" style="2635" customWidth="1"/>
    <col min="3" max="3" width="15.625" style="2635" customWidth="1"/>
    <col min="4" max="4" width="9.375" style="2635" bestFit="1" customWidth="1"/>
    <col min="5" max="5" width="13.5" style="2635" customWidth="1"/>
    <col min="6" max="6" width="9" style="2635"/>
    <col min="7" max="7" width="9.375" style="2635" bestFit="1" customWidth="1"/>
    <col min="8" max="9" width="9" style="2635"/>
    <col min="10" max="10" width="9.375" style="2635" bestFit="1" customWidth="1"/>
    <col min="11" max="11" width="4" style="2629" customWidth="1"/>
    <col min="12" max="12" width="5.125" style="2635" customWidth="1"/>
    <col min="13" max="13" width="13.75" style="2635" customWidth="1"/>
    <col min="14" max="256" width="9" style="2635"/>
    <col min="257" max="257" width="4.875" style="2627" customWidth="1"/>
    <col min="258" max="258" width="13.25" style="2627" customWidth="1"/>
    <col min="259" max="259" width="15.625" style="2627" customWidth="1"/>
    <col min="260" max="260" width="9.375" style="2627" bestFit="1" customWidth="1"/>
    <col min="261" max="261" width="13.5" style="2627" customWidth="1"/>
    <col min="262" max="262" width="9" style="2627"/>
    <col min="263" max="263" width="9.375" style="2627" bestFit="1" customWidth="1"/>
    <col min="264" max="265" width="9" style="2627"/>
    <col min="266" max="266" width="9.375" style="2627" bestFit="1" customWidth="1"/>
    <col min="267" max="267" width="4" style="2627" customWidth="1"/>
    <col min="268" max="268" width="5.125" style="2627" customWidth="1"/>
    <col min="269" max="269" width="13.75" style="2627" customWidth="1"/>
    <col min="270" max="512" width="9" style="2627"/>
    <col min="513" max="513" width="4.875" style="2627" customWidth="1"/>
    <col min="514" max="514" width="13.25" style="2627" customWidth="1"/>
    <col min="515" max="515" width="15.625" style="2627" customWidth="1"/>
    <col min="516" max="516" width="9.375" style="2627" bestFit="1" customWidth="1"/>
    <col min="517" max="517" width="13.5" style="2627" customWidth="1"/>
    <col min="518" max="518" width="9" style="2627"/>
    <col min="519" max="519" width="9.375" style="2627" bestFit="1" customWidth="1"/>
    <col min="520" max="521" width="9" style="2627"/>
    <col min="522" max="522" width="9.375" style="2627" bestFit="1" customWidth="1"/>
    <col min="523" max="523" width="4" style="2627" customWidth="1"/>
    <col min="524" max="524" width="5.125" style="2627" customWidth="1"/>
    <col min="525" max="525" width="13.75" style="2627" customWidth="1"/>
    <col min="526" max="768" width="9" style="2627"/>
    <col min="769" max="769" width="4.875" style="2627" customWidth="1"/>
    <col min="770" max="770" width="13.25" style="2627" customWidth="1"/>
    <col min="771" max="771" width="15.625" style="2627" customWidth="1"/>
    <col min="772" max="772" width="9.375" style="2627" bestFit="1" customWidth="1"/>
    <col min="773" max="773" width="13.5" style="2627" customWidth="1"/>
    <col min="774" max="774" width="9" style="2627"/>
    <col min="775" max="775" width="9.375" style="2627" bestFit="1" customWidth="1"/>
    <col min="776" max="777" width="9" style="2627"/>
    <col min="778" max="778" width="9.375" style="2627" bestFit="1" customWidth="1"/>
    <col min="779" max="779" width="4" style="2627" customWidth="1"/>
    <col min="780" max="780" width="5.125" style="2627" customWidth="1"/>
    <col min="781" max="781" width="13.75" style="2627" customWidth="1"/>
    <col min="782" max="1024" width="9" style="2627"/>
    <col min="1025" max="1025" width="4.875" style="2627" customWidth="1"/>
    <col min="1026" max="1026" width="13.25" style="2627" customWidth="1"/>
    <col min="1027" max="1027" width="15.625" style="2627" customWidth="1"/>
    <col min="1028" max="1028" width="9.375" style="2627" bestFit="1" customWidth="1"/>
    <col min="1029" max="1029" width="13.5" style="2627" customWidth="1"/>
    <col min="1030" max="1030" width="9" style="2627"/>
    <col min="1031" max="1031" width="9.375" style="2627" bestFit="1" customWidth="1"/>
    <col min="1032" max="1033" width="9" style="2627"/>
    <col min="1034" max="1034" width="9.375" style="2627" bestFit="1" customWidth="1"/>
    <col min="1035" max="1035" width="4" style="2627" customWidth="1"/>
    <col min="1036" max="1036" width="5.125" style="2627" customWidth="1"/>
    <col min="1037" max="1037" width="13.75" style="2627" customWidth="1"/>
    <col min="1038" max="1280" width="9" style="2627"/>
    <col min="1281" max="1281" width="4.875" style="2627" customWidth="1"/>
    <col min="1282" max="1282" width="13.25" style="2627" customWidth="1"/>
    <col min="1283" max="1283" width="15.625" style="2627" customWidth="1"/>
    <col min="1284" max="1284" width="9.375" style="2627" bestFit="1" customWidth="1"/>
    <col min="1285" max="1285" width="13.5" style="2627" customWidth="1"/>
    <col min="1286" max="1286" width="9" style="2627"/>
    <col min="1287" max="1287" width="9.375" style="2627" bestFit="1" customWidth="1"/>
    <col min="1288" max="1289" width="9" style="2627"/>
    <col min="1290" max="1290" width="9.375" style="2627" bestFit="1" customWidth="1"/>
    <col min="1291" max="1291" width="4" style="2627" customWidth="1"/>
    <col min="1292" max="1292" width="5.125" style="2627" customWidth="1"/>
    <col min="1293" max="1293" width="13.75" style="2627" customWidth="1"/>
    <col min="1294" max="1536" width="9" style="2627"/>
    <col min="1537" max="1537" width="4.875" style="2627" customWidth="1"/>
    <col min="1538" max="1538" width="13.25" style="2627" customWidth="1"/>
    <col min="1539" max="1539" width="15.625" style="2627" customWidth="1"/>
    <col min="1540" max="1540" width="9.375" style="2627" bestFit="1" customWidth="1"/>
    <col min="1541" max="1541" width="13.5" style="2627" customWidth="1"/>
    <col min="1542" max="1542" width="9" style="2627"/>
    <col min="1543" max="1543" width="9.375" style="2627" bestFit="1" customWidth="1"/>
    <col min="1544" max="1545" width="9" style="2627"/>
    <col min="1546" max="1546" width="9.375" style="2627" bestFit="1" customWidth="1"/>
    <col min="1547" max="1547" width="4" style="2627" customWidth="1"/>
    <col min="1548" max="1548" width="5.125" style="2627" customWidth="1"/>
    <col min="1549" max="1549" width="13.75" style="2627" customWidth="1"/>
    <col min="1550" max="1792" width="9" style="2627"/>
    <col min="1793" max="1793" width="4.875" style="2627" customWidth="1"/>
    <col min="1794" max="1794" width="13.25" style="2627" customWidth="1"/>
    <col min="1795" max="1795" width="15.625" style="2627" customWidth="1"/>
    <col min="1796" max="1796" width="9.375" style="2627" bestFit="1" customWidth="1"/>
    <col min="1797" max="1797" width="13.5" style="2627" customWidth="1"/>
    <col min="1798" max="1798" width="9" style="2627"/>
    <col min="1799" max="1799" width="9.375" style="2627" bestFit="1" customWidth="1"/>
    <col min="1800" max="1801" width="9" style="2627"/>
    <col min="1802" max="1802" width="9.375" style="2627" bestFit="1" customWidth="1"/>
    <col min="1803" max="1803" width="4" style="2627" customWidth="1"/>
    <col min="1804" max="1804" width="5.125" style="2627" customWidth="1"/>
    <col min="1805" max="1805" width="13.75" style="2627" customWidth="1"/>
    <col min="1806" max="2048" width="9" style="2627"/>
    <col min="2049" max="2049" width="4.875" style="2627" customWidth="1"/>
    <col min="2050" max="2050" width="13.25" style="2627" customWidth="1"/>
    <col min="2051" max="2051" width="15.625" style="2627" customWidth="1"/>
    <col min="2052" max="2052" width="9.375" style="2627" bestFit="1" customWidth="1"/>
    <col min="2053" max="2053" width="13.5" style="2627" customWidth="1"/>
    <col min="2054" max="2054" width="9" style="2627"/>
    <col min="2055" max="2055" width="9.375" style="2627" bestFit="1" customWidth="1"/>
    <col min="2056" max="2057" width="9" style="2627"/>
    <col min="2058" max="2058" width="9.375" style="2627" bestFit="1" customWidth="1"/>
    <col min="2059" max="2059" width="4" style="2627" customWidth="1"/>
    <col min="2060" max="2060" width="5.125" style="2627" customWidth="1"/>
    <col min="2061" max="2061" width="13.75" style="2627" customWidth="1"/>
    <col min="2062" max="2304" width="9" style="2627"/>
    <col min="2305" max="2305" width="4.875" style="2627" customWidth="1"/>
    <col min="2306" max="2306" width="13.25" style="2627" customWidth="1"/>
    <col min="2307" max="2307" width="15.625" style="2627" customWidth="1"/>
    <col min="2308" max="2308" width="9.375" style="2627" bestFit="1" customWidth="1"/>
    <col min="2309" max="2309" width="13.5" style="2627" customWidth="1"/>
    <col min="2310" max="2310" width="9" style="2627"/>
    <col min="2311" max="2311" width="9.375" style="2627" bestFit="1" customWidth="1"/>
    <col min="2312" max="2313" width="9" style="2627"/>
    <col min="2314" max="2314" width="9.375" style="2627" bestFit="1" customWidth="1"/>
    <col min="2315" max="2315" width="4" style="2627" customWidth="1"/>
    <col min="2316" max="2316" width="5.125" style="2627" customWidth="1"/>
    <col min="2317" max="2317" width="13.75" style="2627" customWidth="1"/>
    <col min="2318" max="2560" width="9" style="2627"/>
    <col min="2561" max="2561" width="4.875" style="2627" customWidth="1"/>
    <col min="2562" max="2562" width="13.25" style="2627" customWidth="1"/>
    <col min="2563" max="2563" width="15.625" style="2627" customWidth="1"/>
    <col min="2564" max="2564" width="9.375" style="2627" bestFit="1" customWidth="1"/>
    <col min="2565" max="2565" width="13.5" style="2627" customWidth="1"/>
    <col min="2566" max="2566" width="9" style="2627"/>
    <col min="2567" max="2567" width="9.375" style="2627" bestFit="1" customWidth="1"/>
    <col min="2568" max="2569" width="9" style="2627"/>
    <col min="2570" max="2570" width="9.375" style="2627" bestFit="1" customWidth="1"/>
    <col min="2571" max="2571" width="4" style="2627" customWidth="1"/>
    <col min="2572" max="2572" width="5.125" style="2627" customWidth="1"/>
    <col min="2573" max="2573" width="13.75" style="2627" customWidth="1"/>
    <col min="2574" max="2816" width="9" style="2627"/>
    <col min="2817" max="2817" width="4.875" style="2627" customWidth="1"/>
    <col min="2818" max="2818" width="13.25" style="2627" customWidth="1"/>
    <col min="2819" max="2819" width="15.625" style="2627" customWidth="1"/>
    <col min="2820" max="2820" width="9.375" style="2627" bestFit="1" customWidth="1"/>
    <col min="2821" max="2821" width="13.5" style="2627" customWidth="1"/>
    <col min="2822" max="2822" width="9" style="2627"/>
    <col min="2823" max="2823" width="9.375" style="2627" bestFit="1" customWidth="1"/>
    <col min="2824" max="2825" width="9" style="2627"/>
    <col min="2826" max="2826" width="9.375" style="2627" bestFit="1" customWidth="1"/>
    <col min="2827" max="2827" width="4" style="2627" customWidth="1"/>
    <col min="2828" max="2828" width="5.125" style="2627" customWidth="1"/>
    <col min="2829" max="2829" width="13.75" style="2627" customWidth="1"/>
    <col min="2830" max="3072" width="9" style="2627"/>
    <col min="3073" max="3073" width="4.875" style="2627" customWidth="1"/>
    <col min="3074" max="3074" width="13.25" style="2627" customWidth="1"/>
    <col min="3075" max="3075" width="15.625" style="2627" customWidth="1"/>
    <col min="3076" max="3076" width="9.375" style="2627" bestFit="1" customWidth="1"/>
    <col min="3077" max="3077" width="13.5" style="2627" customWidth="1"/>
    <col min="3078" max="3078" width="9" style="2627"/>
    <col min="3079" max="3079" width="9.375" style="2627" bestFit="1" customWidth="1"/>
    <col min="3080" max="3081" width="9" style="2627"/>
    <col min="3082" max="3082" width="9.375" style="2627" bestFit="1" customWidth="1"/>
    <col min="3083" max="3083" width="4" style="2627" customWidth="1"/>
    <col min="3084" max="3084" width="5.125" style="2627" customWidth="1"/>
    <col min="3085" max="3085" width="13.75" style="2627" customWidth="1"/>
    <col min="3086" max="3328" width="9" style="2627"/>
    <col min="3329" max="3329" width="4.875" style="2627" customWidth="1"/>
    <col min="3330" max="3330" width="13.25" style="2627" customWidth="1"/>
    <col min="3331" max="3331" width="15.625" style="2627" customWidth="1"/>
    <col min="3332" max="3332" width="9.375" style="2627" bestFit="1" customWidth="1"/>
    <col min="3333" max="3333" width="13.5" style="2627" customWidth="1"/>
    <col min="3334" max="3334" width="9" style="2627"/>
    <col min="3335" max="3335" width="9.375" style="2627" bestFit="1" customWidth="1"/>
    <col min="3336" max="3337" width="9" style="2627"/>
    <col min="3338" max="3338" width="9.375" style="2627" bestFit="1" customWidth="1"/>
    <col min="3339" max="3339" width="4" style="2627" customWidth="1"/>
    <col min="3340" max="3340" width="5.125" style="2627" customWidth="1"/>
    <col min="3341" max="3341" width="13.75" style="2627" customWidth="1"/>
    <col min="3342" max="3584" width="9" style="2627"/>
    <col min="3585" max="3585" width="4.875" style="2627" customWidth="1"/>
    <col min="3586" max="3586" width="13.25" style="2627" customWidth="1"/>
    <col min="3587" max="3587" width="15.625" style="2627" customWidth="1"/>
    <col min="3588" max="3588" width="9.375" style="2627" bestFit="1" customWidth="1"/>
    <col min="3589" max="3589" width="13.5" style="2627" customWidth="1"/>
    <col min="3590" max="3590" width="9" style="2627"/>
    <col min="3591" max="3591" width="9.375" style="2627" bestFit="1" customWidth="1"/>
    <col min="3592" max="3593" width="9" style="2627"/>
    <col min="3594" max="3594" width="9.375" style="2627" bestFit="1" customWidth="1"/>
    <col min="3595" max="3595" width="4" style="2627" customWidth="1"/>
    <col min="3596" max="3596" width="5.125" style="2627" customWidth="1"/>
    <col min="3597" max="3597" width="13.75" style="2627" customWidth="1"/>
    <col min="3598" max="3840" width="9" style="2627"/>
    <col min="3841" max="3841" width="4.875" style="2627" customWidth="1"/>
    <col min="3842" max="3842" width="13.25" style="2627" customWidth="1"/>
    <col min="3843" max="3843" width="15.625" style="2627" customWidth="1"/>
    <col min="3844" max="3844" width="9.375" style="2627" bestFit="1" customWidth="1"/>
    <col min="3845" max="3845" width="13.5" style="2627" customWidth="1"/>
    <col min="3846" max="3846" width="9" style="2627"/>
    <col min="3847" max="3847" width="9.375" style="2627" bestFit="1" customWidth="1"/>
    <col min="3848" max="3849" width="9" style="2627"/>
    <col min="3850" max="3850" width="9.375" style="2627" bestFit="1" customWidth="1"/>
    <col min="3851" max="3851" width="4" style="2627" customWidth="1"/>
    <col min="3852" max="3852" width="5.125" style="2627" customWidth="1"/>
    <col min="3853" max="3853" width="13.75" style="2627" customWidth="1"/>
    <col min="3854" max="4096" width="9" style="2627"/>
    <col min="4097" max="4097" width="4.875" style="2627" customWidth="1"/>
    <col min="4098" max="4098" width="13.25" style="2627" customWidth="1"/>
    <col min="4099" max="4099" width="15.625" style="2627" customWidth="1"/>
    <col min="4100" max="4100" width="9.375" style="2627" bestFit="1" customWidth="1"/>
    <col min="4101" max="4101" width="13.5" style="2627" customWidth="1"/>
    <col min="4102" max="4102" width="9" style="2627"/>
    <col min="4103" max="4103" width="9.375" style="2627" bestFit="1" customWidth="1"/>
    <col min="4104" max="4105" width="9" style="2627"/>
    <col min="4106" max="4106" width="9.375" style="2627" bestFit="1" customWidth="1"/>
    <col min="4107" max="4107" width="4" style="2627" customWidth="1"/>
    <col min="4108" max="4108" width="5.125" style="2627" customWidth="1"/>
    <col min="4109" max="4109" width="13.75" style="2627" customWidth="1"/>
    <col min="4110" max="4352" width="9" style="2627"/>
    <col min="4353" max="4353" width="4.875" style="2627" customWidth="1"/>
    <col min="4354" max="4354" width="13.25" style="2627" customWidth="1"/>
    <col min="4355" max="4355" width="15.625" style="2627" customWidth="1"/>
    <col min="4356" max="4356" width="9.375" style="2627" bestFit="1" customWidth="1"/>
    <col min="4357" max="4357" width="13.5" style="2627" customWidth="1"/>
    <col min="4358" max="4358" width="9" style="2627"/>
    <col min="4359" max="4359" width="9.375" style="2627" bestFit="1" customWidth="1"/>
    <col min="4360" max="4361" width="9" style="2627"/>
    <col min="4362" max="4362" width="9.375" style="2627" bestFit="1" customWidth="1"/>
    <col min="4363" max="4363" width="4" style="2627" customWidth="1"/>
    <col min="4364" max="4364" width="5.125" style="2627" customWidth="1"/>
    <col min="4365" max="4365" width="13.75" style="2627" customWidth="1"/>
    <col min="4366" max="4608" width="9" style="2627"/>
    <col min="4609" max="4609" width="4.875" style="2627" customWidth="1"/>
    <col min="4610" max="4610" width="13.25" style="2627" customWidth="1"/>
    <col min="4611" max="4611" width="15.625" style="2627" customWidth="1"/>
    <col min="4612" max="4612" width="9.375" style="2627" bestFit="1" customWidth="1"/>
    <col min="4613" max="4613" width="13.5" style="2627" customWidth="1"/>
    <col min="4614" max="4614" width="9" style="2627"/>
    <col min="4615" max="4615" width="9.375" style="2627" bestFit="1" customWidth="1"/>
    <col min="4616" max="4617" width="9" style="2627"/>
    <col min="4618" max="4618" width="9.375" style="2627" bestFit="1" customWidth="1"/>
    <col min="4619" max="4619" width="4" style="2627" customWidth="1"/>
    <col min="4620" max="4620" width="5.125" style="2627" customWidth="1"/>
    <col min="4621" max="4621" width="13.75" style="2627" customWidth="1"/>
    <col min="4622" max="4864" width="9" style="2627"/>
    <col min="4865" max="4865" width="4.875" style="2627" customWidth="1"/>
    <col min="4866" max="4866" width="13.25" style="2627" customWidth="1"/>
    <col min="4867" max="4867" width="15.625" style="2627" customWidth="1"/>
    <col min="4868" max="4868" width="9.375" style="2627" bestFit="1" customWidth="1"/>
    <col min="4869" max="4869" width="13.5" style="2627" customWidth="1"/>
    <col min="4870" max="4870" width="9" style="2627"/>
    <col min="4871" max="4871" width="9.375" style="2627" bestFit="1" customWidth="1"/>
    <col min="4872" max="4873" width="9" style="2627"/>
    <col min="4874" max="4874" width="9.375" style="2627" bestFit="1" customWidth="1"/>
    <col min="4875" max="4875" width="4" style="2627" customWidth="1"/>
    <col min="4876" max="4876" width="5.125" style="2627" customWidth="1"/>
    <col min="4877" max="4877" width="13.75" style="2627" customWidth="1"/>
    <col min="4878" max="5120" width="9" style="2627"/>
    <col min="5121" max="5121" width="4.875" style="2627" customWidth="1"/>
    <col min="5122" max="5122" width="13.25" style="2627" customWidth="1"/>
    <col min="5123" max="5123" width="15.625" style="2627" customWidth="1"/>
    <col min="5124" max="5124" width="9.375" style="2627" bestFit="1" customWidth="1"/>
    <col min="5125" max="5125" width="13.5" style="2627" customWidth="1"/>
    <col min="5126" max="5126" width="9" style="2627"/>
    <col min="5127" max="5127" width="9.375" style="2627" bestFit="1" customWidth="1"/>
    <col min="5128" max="5129" width="9" style="2627"/>
    <col min="5130" max="5130" width="9.375" style="2627" bestFit="1" customWidth="1"/>
    <col min="5131" max="5131" width="4" style="2627" customWidth="1"/>
    <col min="5132" max="5132" width="5.125" style="2627" customWidth="1"/>
    <col min="5133" max="5133" width="13.75" style="2627" customWidth="1"/>
    <col min="5134" max="5376" width="9" style="2627"/>
    <col min="5377" max="5377" width="4.875" style="2627" customWidth="1"/>
    <col min="5378" max="5378" width="13.25" style="2627" customWidth="1"/>
    <col min="5379" max="5379" width="15.625" style="2627" customWidth="1"/>
    <col min="5380" max="5380" width="9.375" style="2627" bestFit="1" customWidth="1"/>
    <col min="5381" max="5381" width="13.5" style="2627" customWidth="1"/>
    <col min="5382" max="5382" width="9" style="2627"/>
    <col min="5383" max="5383" width="9.375" style="2627" bestFit="1" customWidth="1"/>
    <col min="5384" max="5385" width="9" style="2627"/>
    <col min="5386" max="5386" width="9.375" style="2627" bestFit="1" customWidth="1"/>
    <col min="5387" max="5387" width="4" style="2627" customWidth="1"/>
    <col min="5388" max="5388" width="5.125" style="2627" customWidth="1"/>
    <col min="5389" max="5389" width="13.75" style="2627" customWidth="1"/>
    <col min="5390" max="5632" width="9" style="2627"/>
    <col min="5633" max="5633" width="4.875" style="2627" customWidth="1"/>
    <col min="5634" max="5634" width="13.25" style="2627" customWidth="1"/>
    <col min="5635" max="5635" width="15.625" style="2627" customWidth="1"/>
    <col min="5636" max="5636" width="9.375" style="2627" bestFit="1" customWidth="1"/>
    <col min="5637" max="5637" width="13.5" style="2627" customWidth="1"/>
    <col min="5638" max="5638" width="9" style="2627"/>
    <col min="5639" max="5639" width="9.375" style="2627" bestFit="1" customWidth="1"/>
    <col min="5640" max="5641" width="9" style="2627"/>
    <col min="5642" max="5642" width="9.375" style="2627" bestFit="1" customWidth="1"/>
    <col min="5643" max="5643" width="4" style="2627" customWidth="1"/>
    <col min="5644" max="5644" width="5.125" style="2627" customWidth="1"/>
    <col min="5645" max="5645" width="13.75" style="2627" customWidth="1"/>
    <col min="5646" max="5888" width="9" style="2627"/>
    <col min="5889" max="5889" width="4.875" style="2627" customWidth="1"/>
    <col min="5890" max="5890" width="13.25" style="2627" customWidth="1"/>
    <col min="5891" max="5891" width="15.625" style="2627" customWidth="1"/>
    <col min="5892" max="5892" width="9.375" style="2627" bestFit="1" customWidth="1"/>
    <col min="5893" max="5893" width="13.5" style="2627" customWidth="1"/>
    <col min="5894" max="5894" width="9" style="2627"/>
    <col min="5895" max="5895" width="9.375" style="2627" bestFit="1" customWidth="1"/>
    <col min="5896" max="5897" width="9" style="2627"/>
    <col min="5898" max="5898" width="9.375" style="2627" bestFit="1" customWidth="1"/>
    <col min="5899" max="5899" width="4" style="2627" customWidth="1"/>
    <col min="5900" max="5900" width="5.125" style="2627" customWidth="1"/>
    <col min="5901" max="5901" width="13.75" style="2627" customWidth="1"/>
    <col min="5902" max="6144" width="9" style="2627"/>
    <col min="6145" max="6145" width="4.875" style="2627" customWidth="1"/>
    <col min="6146" max="6146" width="13.25" style="2627" customWidth="1"/>
    <col min="6147" max="6147" width="15.625" style="2627" customWidth="1"/>
    <col min="6148" max="6148" width="9.375" style="2627" bestFit="1" customWidth="1"/>
    <col min="6149" max="6149" width="13.5" style="2627" customWidth="1"/>
    <col min="6150" max="6150" width="9" style="2627"/>
    <col min="6151" max="6151" width="9.375" style="2627" bestFit="1" customWidth="1"/>
    <col min="6152" max="6153" width="9" style="2627"/>
    <col min="6154" max="6154" width="9.375" style="2627" bestFit="1" customWidth="1"/>
    <col min="6155" max="6155" width="4" style="2627" customWidth="1"/>
    <col min="6156" max="6156" width="5.125" style="2627" customWidth="1"/>
    <col min="6157" max="6157" width="13.75" style="2627" customWidth="1"/>
    <col min="6158" max="6400" width="9" style="2627"/>
    <col min="6401" max="6401" width="4.875" style="2627" customWidth="1"/>
    <col min="6402" max="6402" width="13.25" style="2627" customWidth="1"/>
    <col min="6403" max="6403" width="15.625" style="2627" customWidth="1"/>
    <col min="6404" max="6404" width="9.375" style="2627" bestFit="1" customWidth="1"/>
    <col min="6405" max="6405" width="13.5" style="2627" customWidth="1"/>
    <col min="6406" max="6406" width="9" style="2627"/>
    <col min="6407" max="6407" width="9.375" style="2627" bestFit="1" customWidth="1"/>
    <col min="6408" max="6409" width="9" style="2627"/>
    <col min="6410" max="6410" width="9.375" style="2627" bestFit="1" customWidth="1"/>
    <col min="6411" max="6411" width="4" style="2627" customWidth="1"/>
    <col min="6412" max="6412" width="5.125" style="2627" customWidth="1"/>
    <col min="6413" max="6413" width="13.75" style="2627" customWidth="1"/>
    <col min="6414" max="6656" width="9" style="2627"/>
    <col min="6657" max="6657" width="4.875" style="2627" customWidth="1"/>
    <col min="6658" max="6658" width="13.25" style="2627" customWidth="1"/>
    <col min="6659" max="6659" width="15.625" style="2627" customWidth="1"/>
    <col min="6660" max="6660" width="9.375" style="2627" bestFit="1" customWidth="1"/>
    <col min="6661" max="6661" width="13.5" style="2627" customWidth="1"/>
    <col min="6662" max="6662" width="9" style="2627"/>
    <col min="6663" max="6663" width="9.375" style="2627" bestFit="1" customWidth="1"/>
    <col min="6664" max="6665" width="9" style="2627"/>
    <col min="6666" max="6666" width="9.375" style="2627" bestFit="1" customWidth="1"/>
    <col min="6667" max="6667" width="4" style="2627" customWidth="1"/>
    <col min="6668" max="6668" width="5.125" style="2627" customWidth="1"/>
    <col min="6669" max="6669" width="13.75" style="2627" customWidth="1"/>
    <col min="6670" max="6912" width="9" style="2627"/>
    <col min="6913" max="6913" width="4.875" style="2627" customWidth="1"/>
    <col min="6914" max="6914" width="13.25" style="2627" customWidth="1"/>
    <col min="6915" max="6915" width="15.625" style="2627" customWidth="1"/>
    <col min="6916" max="6916" width="9.375" style="2627" bestFit="1" customWidth="1"/>
    <col min="6917" max="6917" width="13.5" style="2627" customWidth="1"/>
    <col min="6918" max="6918" width="9" style="2627"/>
    <col min="6919" max="6919" width="9.375" style="2627" bestFit="1" customWidth="1"/>
    <col min="6920" max="6921" width="9" style="2627"/>
    <col min="6922" max="6922" width="9.375" style="2627" bestFit="1" customWidth="1"/>
    <col min="6923" max="6923" width="4" style="2627" customWidth="1"/>
    <col min="6924" max="6924" width="5.125" style="2627" customWidth="1"/>
    <col min="6925" max="6925" width="13.75" style="2627" customWidth="1"/>
    <col min="6926" max="7168" width="9" style="2627"/>
    <col min="7169" max="7169" width="4.875" style="2627" customWidth="1"/>
    <col min="7170" max="7170" width="13.25" style="2627" customWidth="1"/>
    <col min="7171" max="7171" width="15.625" style="2627" customWidth="1"/>
    <col min="7172" max="7172" width="9.375" style="2627" bestFit="1" customWidth="1"/>
    <col min="7173" max="7173" width="13.5" style="2627" customWidth="1"/>
    <col min="7174" max="7174" width="9" style="2627"/>
    <col min="7175" max="7175" width="9.375" style="2627" bestFit="1" customWidth="1"/>
    <col min="7176" max="7177" width="9" style="2627"/>
    <col min="7178" max="7178" width="9.375" style="2627" bestFit="1" customWidth="1"/>
    <col min="7179" max="7179" width="4" style="2627" customWidth="1"/>
    <col min="7180" max="7180" width="5.125" style="2627" customWidth="1"/>
    <col min="7181" max="7181" width="13.75" style="2627" customWidth="1"/>
    <col min="7182" max="7424" width="9" style="2627"/>
    <col min="7425" max="7425" width="4.875" style="2627" customWidth="1"/>
    <col min="7426" max="7426" width="13.25" style="2627" customWidth="1"/>
    <col min="7427" max="7427" width="15.625" style="2627" customWidth="1"/>
    <col min="7428" max="7428" width="9.375" style="2627" bestFit="1" customWidth="1"/>
    <col min="7429" max="7429" width="13.5" style="2627" customWidth="1"/>
    <col min="7430" max="7430" width="9" style="2627"/>
    <col min="7431" max="7431" width="9.375" style="2627" bestFit="1" customWidth="1"/>
    <col min="7432" max="7433" width="9" style="2627"/>
    <col min="7434" max="7434" width="9.375" style="2627" bestFit="1" customWidth="1"/>
    <col min="7435" max="7435" width="4" style="2627" customWidth="1"/>
    <col min="7436" max="7436" width="5.125" style="2627" customWidth="1"/>
    <col min="7437" max="7437" width="13.75" style="2627" customWidth="1"/>
    <col min="7438" max="7680" width="9" style="2627"/>
    <col min="7681" max="7681" width="4.875" style="2627" customWidth="1"/>
    <col min="7682" max="7682" width="13.25" style="2627" customWidth="1"/>
    <col min="7683" max="7683" width="15.625" style="2627" customWidth="1"/>
    <col min="7684" max="7684" width="9.375" style="2627" bestFit="1" customWidth="1"/>
    <col min="7685" max="7685" width="13.5" style="2627" customWidth="1"/>
    <col min="7686" max="7686" width="9" style="2627"/>
    <col min="7687" max="7687" width="9.375" style="2627" bestFit="1" customWidth="1"/>
    <col min="7688" max="7689" width="9" style="2627"/>
    <col min="7690" max="7690" width="9.375" style="2627" bestFit="1" customWidth="1"/>
    <col min="7691" max="7691" width="4" style="2627" customWidth="1"/>
    <col min="7692" max="7692" width="5.125" style="2627" customWidth="1"/>
    <col min="7693" max="7693" width="13.75" style="2627" customWidth="1"/>
    <col min="7694" max="7936" width="9" style="2627"/>
    <col min="7937" max="7937" width="4.875" style="2627" customWidth="1"/>
    <col min="7938" max="7938" width="13.25" style="2627" customWidth="1"/>
    <col min="7939" max="7939" width="15.625" style="2627" customWidth="1"/>
    <col min="7940" max="7940" width="9.375" style="2627" bestFit="1" customWidth="1"/>
    <col min="7941" max="7941" width="13.5" style="2627" customWidth="1"/>
    <col min="7942" max="7942" width="9" style="2627"/>
    <col min="7943" max="7943" width="9.375" style="2627" bestFit="1" customWidth="1"/>
    <col min="7944" max="7945" width="9" style="2627"/>
    <col min="7946" max="7946" width="9.375" style="2627" bestFit="1" customWidth="1"/>
    <col min="7947" max="7947" width="4" style="2627" customWidth="1"/>
    <col min="7948" max="7948" width="5.125" style="2627" customWidth="1"/>
    <col min="7949" max="7949" width="13.75" style="2627" customWidth="1"/>
    <col min="7950" max="8192" width="9" style="2627"/>
    <col min="8193" max="8193" width="4.875" style="2627" customWidth="1"/>
    <col min="8194" max="8194" width="13.25" style="2627" customWidth="1"/>
    <col min="8195" max="8195" width="15.625" style="2627" customWidth="1"/>
    <col min="8196" max="8196" width="9.375" style="2627" bestFit="1" customWidth="1"/>
    <col min="8197" max="8197" width="13.5" style="2627" customWidth="1"/>
    <col min="8198" max="8198" width="9" style="2627"/>
    <col min="8199" max="8199" width="9.375" style="2627" bestFit="1" customWidth="1"/>
    <col min="8200" max="8201" width="9" style="2627"/>
    <col min="8202" max="8202" width="9.375" style="2627" bestFit="1" customWidth="1"/>
    <col min="8203" max="8203" width="4" style="2627" customWidth="1"/>
    <col min="8204" max="8204" width="5.125" style="2627" customWidth="1"/>
    <col min="8205" max="8205" width="13.75" style="2627" customWidth="1"/>
    <col min="8206" max="8448" width="9" style="2627"/>
    <col min="8449" max="8449" width="4.875" style="2627" customWidth="1"/>
    <col min="8450" max="8450" width="13.25" style="2627" customWidth="1"/>
    <col min="8451" max="8451" width="15.625" style="2627" customWidth="1"/>
    <col min="8452" max="8452" width="9.375" style="2627" bestFit="1" customWidth="1"/>
    <col min="8453" max="8453" width="13.5" style="2627" customWidth="1"/>
    <col min="8454" max="8454" width="9" style="2627"/>
    <col min="8455" max="8455" width="9.375" style="2627" bestFit="1" customWidth="1"/>
    <col min="8456" max="8457" width="9" style="2627"/>
    <col min="8458" max="8458" width="9.375" style="2627" bestFit="1" customWidth="1"/>
    <col min="8459" max="8459" width="4" style="2627" customWidth="1"/>
    <col min="8460" max="8460" width="5.125" style="2627" customWidth="1"/>
    <col min="8461" max="8461" width="13.75" style="2627" customWidth="1"/>
    <col min="8462" max="8704" width="9" style="2627"/>
    <col min="8705" max="8705" width="4.875" style="2627" customWidth="1"/>
    <col min="8706" max="8706" width="13.25" style="2627" customWidth="1"/>
    <col min="8707" max="8707" width="15.625" style="2627" customWidth="1"/>
    <col min="8708" max="8708" width="9.375" style="2627" bestFit="1" customWidth="1"/>
    <col min="8709" max="8709" width="13.5" style="2627" customWidth="1"/>
    <col min="8710" max="8710" width="9" style="2627"/>
    <col min="8711" max="8711" width="9.375" style="2627" bestFit="1" customWidth="1"/>
    <col min="8712" max="8713" width="9" style="2627"/>
    <col min="8714" max="8714" width="9.375" style="2627" bestFit="1" customWidth="1"/>
    <col min="8715" max="8715" width="4" style="2627" customWidth="1"/>
    <col min="8716" max="8716" width="5.125" style="2627" customWidth="1"/>
    <col min="8717" max="8717" width="13.75" style="2627" customWidth="1"/>
    <col min="8718" max="8960" width="9" style="2627"/>
    <col min="8961" max="8961" width="4.875" style="2627" customWidth="1"/>
    <col min="8962" max="8962" width="13.25" style="2627" customWidth="1"/>
    <col min="8963" max="8963" width="15.625" style="2627" customWidth="1"/>
    <col min="8964" max="8964" width="9.375" style="2627" bestFit="1" customWidth="1"/>
    <col min="8965" max="8965" width="13.5" style="2627" customWidth="1"/>
    <col min="8966" max="8966" width="9" style="2627"/>
    <col min="8967" max="8967" width="9.375" style="2627" bestFit="1" customWidth="1"/>
    <col min="8968" max="8969" width="9" style="2627"/>
    <col min="8970" max="8970" width="9.375" style="2627" bestFit="1" customWidth="1"/>
    <col min="8971" max="8971" width="4" style="2627" customWidth="1"/>
    <col min="8972" max="8972" width="5.125" style="2627" customWidth="1"/>
    <col min="8973" max="8973" width="13.75" style="2627" customWidth="1"/>
    <col min="8974" max="9216" width="9" style="2627"/>
    <col min="9217" max="9217" width="4.875" style="2627" customWidth="1"/>
    <col min="9218" max="9218" width="13.25" style="2627" customWidth="1"/>
    <col min="9219" max="9219" width="15.625" style="2627" customWidth="1"/>
    <col min="9220" max="9220" width="9.375" style="2627" bestFit="1" customWidth="1"/>
    <col min="9221" max="9221" width="13.5" style="2627" customWidth="1"/>
    <col min="9222" max="9222" width="9" style="2627"/>
    <col min="9223" max="9223" width="9.375" style="2627" bestFit="1" customWidth="1"/>
    <col min="9224" max="9225" width="9" style="2627"/>
    <col min="9226" max="9226" width="9.375" style="2627" bestFit="1" customWidth="1"/>
    <col min="9227" max="9227" width="4" style="2627" customWidth="1"/>
    <col min="9228" max="9228" width="5.125" style="2627" customWidth="1"/>
    <col min="9229" max="9229" width="13.75" style="2627" customWidth="1"/>
    <col min="9230" max="9472" width="9" style="2627"/>
    <col min="9473" max="9473" width="4.875" style="2627" customWidth="1"/>
    <col min="9474" max="9474" width="13.25" style="2627" customWidth="1"/>
    <col min="9475" max="9475" width="15.625" style="2627" customWidth="1"/>
    <col min="9476" max="9476" width="9.375" style="2627" bestFit="1" customWidth="1"/>
    <col min="9477" max="9477" width="13.5" style="2627" customWidth="1"/>
    <col min="9478" max="9478" width="9" style="2627"/>
    <col min="9479" max="9479" width="9.375" style="2627" bestFit="1" customWidth="1"/>
    <col min="9480" max="9481" width="9" style="2627"/>
    <col min="9482" max="9482" width="9.375" style="2627" bestFit="1" customWidth="1"/>
    <col min="9483" max="9483" width="4" style="2627" customWidth="1"/>
    <col min="9484" max="9484" width="5.125" style="2627" customWidth="1"/>
    <col min="9485" max="9485" width="13.75" style="2627" customWidth="1"/>
    <col min="9486" max="9728" width="9" style="2627"/>
    <col min="9729" max="9729" width="4.875" style="2627" customWidth="1"/>
    <col min="9730" max="9730" width="13.25" style="2627" customWidth="1"/>
    <col min="9731" max="9731" width="15.625" style="2627" customWidth="1"/>
    <col min="9732" max="9732" width="9.375" style="2627" bestFit="1" customWidth="1"/>
    <col min="9733" max="9733" width="13.5" style="2627" customWidth="1"/>
    <col min="9734" max="9734" width="9" style="2627"/>
    <col min="9735" max="9735" width="9.375" style="2627" bestFit="1" customWidth="1"/>
    <col min="9736" max="9737" width="9" style="2627"/>
    <col min="9738" max="9738" width="9.375" style="2627" bestFit="1" customWidth="1"/>
    <col min="9739" max="9739" width="4" style="2627" customWidth="1"/>
    <col min="9740" max="9740" width="5.125" style="2627" customWidth="1"/>
    <col min="9741" max="9741" width="13.75" style="2627" customWidth="1"/>
    <col min="9742" max="9984" width="9" style="2627"/>
    <col min="9985" max="9985" width="4.875" style="2627" customWidth="1"/>
    <col min="9986" max="9986" width="13.25" style="2627" customWidth="1"/>
    <col min="9987" max="9987" width="15.625" style="2627" customWidth="1"/>
    <col min="9988" max="9988" width="9.375" style="2627" bestFit="1" customWidth="1"/>
    <col min="9989" max="9989" width="13.5" style="2627" customWidth="1"/>
    <col min="9990" max="9990" width="9" style="2627"/>
    <col min="9991" max="9991" width="9.375" style="2627" bestFit="1" customWidth="1"/>
    <col min="9992" max="9993" width="9" style="2627"/>
    <col min="9994" max="9994" width="9.375" style="2627" bestFit="1" customWidth="1"/>
    <col min="9995" max="9995" width="4" style="2627" customWidth="1"/>
    <col min="9996" max="9996" width="5.125" style="2627" customWidth="1"/>
    <col min="9997" max="9997" width="13.75" style="2627" customWidth="1"/>
    <col min="9998" max="10240" width="9" style="2627"/>
    <col min="10241" max="10241" width="4.875" style="2627" customWidth="1"/>
    <col min="10242" max="10242" width="13.25" style="2627" customWidth="1"/>
    <col min="10243" max="10243" width="15.625" style="2627" customWidth="1"/>
    <col min="10244" max="10244" width="9.375" style="2627" bestFit="1" customWidth="1"/>
    <col min="10245" max="10245" width="13.5" style="2627" customWidth="1"/>
    <col min="10246" max="10246" width="9" style="2627"/>
    <col min="10247" max="10247" width="9.375" style="2627" bestFit="1" customWidth="1"/>
    <col min="10248" max="10249" width="9" style="2627"/>
    <col min="10250" max="10250" width="9.375" style="2627" bestFit="1" customWidth="1"/>
    <col min="10251" max="10251" width="4" style="2627" customWidth="1"/>
    <col min="10252" max="10252" width="5.125" style="2627" customWidth="1"/>
    <col min="10253" max="10253" width="13.75" style="2627" customWidth="1"/>
    <col min="10254" max="10496" width="9" style="2627"/>
    <col min="10497" max="10497" width="4.875" style="2627" customWidth="1"/>
    <col min="10498" max="10498" width="13.25" style="2627" customWidth="1"/>
    <col min="10499" max="10499" width="15.625" style="2627" customWidth="1"/>
    <col min="10500" max="10500" width="9.375" style="2627" bestFit="1" customWidth="1"/>
    <col min="10501" max="10501" width="13.5" style="2627" customWidth="1"/>
    <col min="10502" max="10502" width="9" style="2627"/>
    <col min="10503" max="10503" width="9.375" style="2627" bestFit="1" customWidth="1"/>
    <col min="10504" max="10505" width="9" style="2627"/>
    <col min="10506" max="10506" width="9.375" style="2627" bestFit="1" customWidth="1"/>
    <col min="10507" max="10507" width="4" style="2627" customWidth="1"/>
    <col min="10508" max="10508" width="5.125" style="2627" customWidth="1"/>
    <col min="10509" max="10509" width="13.75" style="2627" customWidth="1"/>
    <col min="10510" max="10752" width="9" style="2627"/>
    <col min="10753" max="10753" width="4.875" style="2627" customWidth="1"/>
    <col min="10754" max="10754" width="13.25" style="2627" customWidth="1"/>
    <col min="10755" max="10755" width="15.625" style="2627" customWidth="1"/>
    <col min="10756" max="10756" width="9.375" style="2627" bestFit="1" customWidth="1"/>
    <col min="10757" max="10757" width="13.5" style="2627" customWidth="1"/>
    <col min="10758" max="10758" width="9" style="2627"/>
    <col min="10759" max="10759" width="9.375" style="2627" bestFit="1" customWidth="1"/>
    <col min="10760" max="10761" width="9" style="2627"/>
    <col min="10762" max="10762" width="9.375" style="2627" bestFit="1" customWidth="1"/>
    <col min="10763" max="10763" width="4" style="2627" customWidth="1"/>
    <col min="10764" max="10764" width="5.125" style="2627" customWidth="1"/>
    <col min="10765" max="10765" width="13.75" style="2627" customWidth="1"/>
    <col min="10766" max="11008" width="9" style="2627"/>
    <col min="11009" max="11009" width="4.875" style="2627" customWidth="1"/>
    <col min="11010" max="11010" width="13.25" style="2627" customWidth="1"/>
    <col min="11011" max="11011" width="15.625" style="2627" customWidth="1"/>
    <col min="11012" max="11012" width="9.375" style="2627" bestFit="1" customWidth="1"/>
    <col min="11013" max="11013" width="13.5" style="2627" customWidth="1"/>
    <col min="11014" max="11014" width="9" style="2627"/>
    <col min="11015" max="11015" width="9.375" style="2627" bestFit="1" customWidth="1"/>
    <col min="11016" max="11017" width="9" style="2627"/>
    <col min="11018" max="11018" width="9.375" style="2627" bestFit="1" customWidth="1"/>
    <col min="11019" max="11019" width="4" style="2627" customWidth="1"/>
    <col min="11020" max="11020" width="5.125" style="2627" customWidth="1"/>
    <col min="11021" max="11021" width="13.75" style="2627" customWidth="1"/>
    <col min="11022" max="11264" width="9" style="2627"/>
    <col min="11265" max="11265" width="4.875" style="2627" customWidth="1"/>
    <col min="11266" max="11266" width="13.25" style="2627" customWidth="1"/>
    <col min="11267" max="11267" width="15.625" style="2627" customWidth="1"/>
    <col min="11268" max="11268" width="9.375" style="2627" bestFit="1" customWidth="1"/>
    <col min="11269" max="11269" width="13.5" style="2627" customWidth="1"/>
    <col min="11270" max="11270" width="9" style="2627"/>
    <col min="11271" max="11271" width="9.375" style="2627" bestFit="1" customWidth="1"/>
    <col min="11272" max="11273" width="9" style="2627"/>
    <col min="11274" max="11274" width="9.375" style="2627" bestFit="1" customWidth="1"/>
    <col min="11275" max="11275" width="4" style="2627" customWidth="1"/>
    <col min="11276" max="11276" width="5.125" style="2627" customWidth="1"/>
    <col min="11277" max="11277" width="13.75" style="2627" customWidth="1"/>
    <col min="11278" max="11520" width="9" style="2627"/>
    <col min="11521" max="11521" width="4.875" style="2627" customWidth="1"/>
    <col min="11522" max="11522" width="13.25" style="2627" customWidth="1"/>
    <col min="11523" max="11523" width="15.625" style="2627" customWidth="1"/>
    <col min="11524" max="11524" width="9.375" style="2627" bestFit="1" customWidth="1"/>
    <col min="11525" max="11525" width="13.5" style="2627" customWidth="1"/>
    <col min="11526" max="11526" width="9" style="2627"/>
    <col min="11527" max="11527" width="9.375" style="2627" bestFit="1" customWidth="1"/>
    <col min="11528" max="11529" width="9" style="2627"/>
    <col min="11530" max="11530" width="9.375" style="2627" bestFit="1" customWidth="1"/>
    <col min="11531" max="11531" width="4" style="2627" customWidth="1"/>
    <col min="11532" max="11532" width="5.125" style="2627" customWidth="1"/>
    <col min="11533" max="11533" width="13.75" style="2627" customWidth="1"/>
    <col min="11534" max="11776" width="9" style="2627"/>
    <col min="11777" max="11777" width="4.875" style="2627" customWidth="1"/>
    <col min="11778" max="11778" width="13.25" style="2627" customWidth="1"/>
    <col min="11779" max="11779" width="15.625" style="2627" customWidth="1"/>
    <col min="11780" max="11780" width="9.375" style="2627" bestFit="1" customWidth="1"/>
    <col min="11781" max="11781" width="13.5" style="2627" customWidth="1"/>
    <col min="11782" max="11782" width="9" style="2627"/>
    <col min="11783" max="11783" width="9.375" style="2627" bestFit="1" customWidth="1"/>
    <col min="11784" max="11785" width="9" style="2627"/>
    <col min="11786" max="11786" width="9.375" style="2627" bestFit="1" customWidth="1"/>
    <col min="11787" max="11787" width="4" style="2627" customWidth="1"/>
    <col min="11788" max="11788" width="5.125" style="2627" customWidth="1"/>
    <col min="11789" max="11789" width="13.75" style="2627" customWidth="1"/>
    <col min="11790" max="12032" width="9" style="2627"/>
    <col min="12033" max="12033" width="4.875" style="2627" customWidth="1"/>
    <col min="12034" max="12034" width="13.25" style="2627" customWidth="1"/>
    <col min="12035" max="12035" width="15.625" style="2627" customWidth="1"/>
    <col min="12036" max="12036" width="9.375" style="2627" bestFit="1" customWidth="1"/>
    <col min="12037" max="12037" width="13.5" style="2627" customWidth="1"/>
    <col min="12038" max="12038" width="9" style="2627"/>
    <col min="12039" max="12039" width="9.375" style="2627" bestFit="1" customWidth="1"/>
    <col min="12040" max="12041" width="9" style="2627"/>
    <col min="12042" max="12042" width="9.375" style="2627" bestFit="1" customWidth="1"/>
    <col min="12043" max="12043" width="4" style="2627" customWidth="1"/>
    <col min="12044" max="12044" width="5.125" style="2627" customWidth="1"/>
    <col min="12045" max="12045" width="13.75" style="2627" customWidth="1"/>
    <col min="12046" max="12288" width="9" style="2627"/>
    <col min="12289" max="12289" width="4.875" style="2627" customWidth="1"/>
    <col min="12290" max="12290" width="13.25" style="2627" customWidth="1"/>
    <col min="12291" max="12291" width="15.625" style="2627" customWidth="1"/>
    <col min="12292" max="12292" width="9.375" style="2627" bestFit="1" customWidth="1"/>
    <col min="12293" max="12293" width="13.5" style="2627" customWidth="1"/>
    <col min="12294" max="12294" width="9" style="2627"/>
    <col min="12295" max="12295" width="9.375" style="2627" bestFit="1" customWidth="1"/>
    <col min="12296" max="12297" width="9" style="2627"/>
    <col min="12298" max="12298" width="9.375" style="2627" bestFit="1" customWidth="1"/>
    <col min="12299" max="12299" width="4" style="2627" customWidth="1"/>
    <col min="12300" max="12300" width="5.125" style="2627" customWidth="1"/>
    <col min="12301" max="12301" width="13.75" style="2627" customWidth="1"/>
    <col min="12302" max="12544" width="9" style="2627"/>
    <col min="12545" max="12545" width="4.875" style="2627" customWidth="1"/>
    <col min="12546" max="12546" width="13.25" style="2627" customWidth="1"/>
    <col min="12547" max="12547" width="15.625" style="2627" customWidth="1"/>
    <col min="12548" max="12548" width="9.375" style="2627" bestFit="1" customWidth="1"/>
    <col min="12549" max="12549" width="13.5" style="2627" customWidth="1"/>
    <col min="12550" max="12550" width="9" style="2627"/>
    <col min="12551" max="12551" width="9.375" style="2627" bestFit="1" customWidth="1"/>
    <col min="12552" max="12553" width="9" style="2627"/>
    <col min="12554" max="12554" width="9.375" style="2627" bestFit="1" customWidth="1"/>
    <col min="12555" max="12555" width="4" style="2627" customWidth="1"/>
    <col min="12556" max="12556" width="5.125" style="2627" customWidth="1"/>
    <col min="12557" max="12557" width="13.75" style="2627" customWidth="1"/>
    <col min="12558" max="12800" width="9" style="2627"/>
    <col min="12801" max="12801" width="4.875" style="2627" customWidth="1"/>
    <col min="12802" max="12802" width="13.25" style="2627" customWidth="1"/>
    <col min="12803" max="12803" width="15.625" style="2627" customWidth="1"/>
    <col min="12804" max="12804" width="9.375" style="2627" bestFit="1" customWidth="1"/>
    <col min="12805" max="12805" width="13.5" style="2627" customWidth="1"/>
    <col min="12806" max="12806" width="9" style="2627"/>
    <col min="12807" max="12807" width="9.375" style="2627" bestFit="1" customWidth="1"/>
    <col min="12808" max="12809" width="9" style="2627"/>
    <col min="12810" max="12810" width="9.375" style="2627" bestFit="1" customWidth="1"/>
    <col min="12811" max="12811" width="4" style="2627" customWidth="1"/>
    <col min="12812" max="12812" width="5.125" style="2627" customWidth="1"/>
    <col min="12813" max="12813" width="13.75" style="2627" customWidth="1"/>
    <col min="12814" max="13056" width="9" style="2627"/>
    <col min="13057" max="13057" width="4.875" style="2627" customWidth="1"/>
    <col min="13058" max="13058" width="13.25" style="2627" customWidth="1"/>
    <col min="13059" max="13059" width="15.625" style="2627" customWidth="1"/>
    <col min="13060" max="13060" width="9.375" style="2627" bestFit="1" customWidth="1"/>
    <col min="13061" max="13061" width="13.5" style="2627" customWidth="1"/>
    <col min="13062" max="13062" width="9" style="2627"/>
    <col min="13063" max="13063" width="9.375" style="2627" bestFit="1" customWidth="1"/>
    <col min="13064" max="13065" width="9" style="2627"/>
    <col min="13066" max="13066" width="9.375" style="2627" bestFit="1" customWidth="1"/>
    <col min="13067" max="13067" width="4" style="2627" customWidth="1"/>
    <col min="13068" max="13068" width="5.125" style="2627" customWidth="1"/>
    <col min="13069" max="13069" width="13.75" style="2627" customWidth="1"/>
    <col min="13070" max="13312" width="9" style="2627"/>
    <col min="13313" max="13313" width="4.875" style="2627" customWidth="1"/>
    <col min="13314" max="13314" width="13.25" style="2627" customWidth="1"/>
    <col min="13315" max="13315" width="15.625" style="2627" customWidth="1"/>
    <col min="13316" max="13316" width="9.375" style="2627" bestFit="1" customWidth="1"/>
    <col min="13317" max="13317" width="13.5" style="2627" customWidth="1"/>
    <col min="13318" max="13318" width="9" style="2627"/>
    <col min="13319" max="13319" width="9.375" style="2627" bestFit="1" customWidth="1"/>
    <col min="13320" max="13321" width="9" style="2627"/>
    <col min="13322" max="13322" width="9.375" style="2627" bestFit="1" customWidth="1"/>
    <col min="13323" max="13323" width="4" style="2627" customWidth="1"/>
    <col min="13324" max="13324" width="5.125" style="2627" customWidth="1"/>
    <col min="13325" max="13325" width="13.75" style="2627" customWidth="1"/>
    <col min="13326" max="13568" width="9" style="2627"/>
    <col min="13569" max="13569" width="4.875" style="2627" customWidth="1"/>
    <col min="13570" max="13570" width="13.25" style="2627" customWidth="1"/>
    <col min="13571" max="13571" width="15.625" style="2627" customWidth="1"/>
    <col min="13572" max="13572" width="9.375" style="2627" bestFit="1" customWidth="1"/>
    <col min="13573" max="13573" width="13.5" style="2627" customWidth="1"/>
    <col min="13574" max="13574" width="9" style="2627"/>
    <col min="13575" max="13575" width="9.375" style="2627" bestFit="1" customWidth="1"/>
    <col min="13576" max="13577" width="9" style="2627"/>
    <col min="13578" max="13578" width="9.375" style="2627" bestFit="1" customWidth="1"/>
    <col min="13579" max="13579" width="4" style="2627" customWidth="1"/>
    <col min="13580" max="13580" width="5.125" style="2627" customWidth="1"/>
    <col min="13581" max="13581" width="13.75" style="2627" customWidth="1"/>
    <col min="13582" max="13824" width="9" style="2627"/>
    <col min="13825" max="13825" width="4.875" style="2627" customWidth="1"/>
    <col min="13826" max="13826" width="13.25" style="2627" customWidth="1"/>
    <col min="13827" max="13827" width="15.625" style="2627" customWidth="1"/>
    <col min="13828" max="13828" width="9.375" style="2627" bestFit="1" customWidth="1"/>
    <col min="13829" max="13829" width="13.5" style="2627" customWidth="1"/>
    <col min="13830" max="13830" width="9" style="2627"/>
    <col min="13831" max="13831" width="9.375" style="2627" bestFit="1" customWidth="1"/>
    <col min="13832" max="13833" width="9" style="2627"/>
    <col min="13834" max="13834" width="9.375" style="2627" bestFit="1" customWidth="1"/>
    <col min="13835" max="13835" width="4" style="2627" customWidth="1"/>
    <col min="13836" max="13836" width="5.125" style="2627" customWidth="1"/>
    <col min="13837" max="13837" width="13.75" style="2627" customWidth="1"/>
    <col min="13838" max="14080" width="9" style="2627"/>
    <col min="14081" max="14081" width="4.875" style="2627" customWidth="1"/>
    <col min="14082" max="14082" width="13.25" style="2627" customWidth="1"/>
    <col min="14083" max="14083" width="15.625" style="2627" customWidth="1"/>
    <col min="14084" max="14084" width="9.375" style="2627" bestFit="1" customWidth="1"/>
    <col min="14085" max="14085" width="13.5" style="2627" customWidth="1"/>
    <col min="14086" max="14086" width="9" style="2627"/>
    <col min="14087" max="14087" width="9.375" style="2627" bestFit="1" customWidth="1"/>
    <col min="14088" max="14089" width="9" style="2627"/>
    <col min="14090" max="14090" width="9.375" style="2627" bestFit="1" customWidth="1"/>
    <col min="14091" max="14091" width="4" style="2627" customWidth="1"/>
    <col min="14092" max="14092" width="5.125" style="2627" customWidth="1"/>
    <col min="14093" max="14093" width="13.75" style="2627" customWidth="1"/>
    <col min="14094" max="14336" width="9" style="2627"/>
    <col min="14337" max="14337" width="4.875" style="2627" customWidth="1"/>
    <col min="14338" max="14338" width="13.25" style="2627" customWidth="1"/>
    <col min="14339" max="14339" width="15.625" style="2627" customWidth="1"/>
    <col min="14340" max="14340" width="9.375" style="2627" bestFit="1" customWidth="1"/>
    <col min="14341" max="14341" width="13.5" style="2627" customWidth="1"/>
    <col min="14342" max="14342" width="9" style="2627"/>
    <col min="14343" max="14343" width="9.375" style="2627" bestFit="1" customWidth="1"/>
    <col min="14344" max="14345" width="9" style="2627"/>
    <col min="14346" max="14346" width="9.375" style="2627" bestFit="1" customWidth="1"/>
    <col min="14347" max="14347" width="4" style="2627" customWidth="1"/>
    <col min="14348" max="14348" width="5.125" style="2627" customWidth="1"/>
    <col min="14349" max="14349" width="13.75" style="2627" customWidth="1"/>
    <col min="14350" max="14592" width="9" style="2627"/>
    <col min="14593" max="14593" width="4.875" style="2627" customWidth="1"/>
    <col min="14594" max="14594" width="13.25" style="2627" customWidth="1"/>
    <col min="14595" max="14595" width="15.625" style="2627" customWidth="1"/>
    <col min="14596" max="14596" width="9.375" style="2627" bestFit="1" customWidth="1"/>
    <col min="14597" max="14597" width="13.5" style="2627" customWidth="1"/>
    <col min="14598" max="14598" width="9" style="2627"/>
    <col min="14599" max="14599" width="9.375" style="2627" bestFit="1" customWidth="1"/>
    <col min="14600" max="14601" width="9" style="2627"/>
    <col min="14602" max="14602" width="9.375" style="2627" bestFit="1" customWidth="1"/>
    <col min="14603" max="14603" width="4" style="2627" customWidth="1"/>
    <col min="14604" max="14604" width="5.125" style="2627" customWidth="1"/>
    <col min="14605" max="14605" width="13.75" style="2627" customWidth="1"/>
    <col min="14606" max="14848" width="9" style="2627"/>
    <col min="14849" max="14849" width="4.875" style="2627" customWidth="1"/>
    <col min="14850" max="14850" width="13.25" style="2627" customWidth="1"/>
    <col min="14851" max="14851" width="15.625" style="2627" customWidth="1"/>
    <col min="14852" max="14852" width="9.375" style="2627" bestFit="1" customWidth="1"/>
    <col min="14853" max="14853" width="13.5" style="2627" customWidth="1"/>
    <col min="14854" max="14854" width="9" style="2627"/>
    <col min="14855" max="14855" width="9.375" style="2627" bestFit="1" customWidth="1"/>
    <col min="14856" max="14857" width="9" style="2627"/>
    <col min="14858" max="14858" width="9.375" style="2627" bestFit="1" customWidth="1"/>
    <col min="14859" max="14859" width="4" style="2627" customWidth="1"/>
    <col min="14860" max="14860" width="5.125" style="2627" customWidth="1"/>
    <col min="14861" max="14861" width="13.75" style="2627" customWidth="1"/>
    <col min="14862" max="15104" width="9" style="2627"/>
    <col min="15105" max="15105" width="4.875" style="2627" customWidth="1"/>
    <col min="15106" max="15106" width="13.25" style="2627" customWidth="1"/>
    <col min="15107" max="15107" width="15.625" style="2627" customWidth="1"/>
    <col min="15108" max="15108" width="9.375" style="2627" bestFit="1" customWidth="1"/>
    <col min="15109" max="15109" width="13.5" style="2627" customWidth="1"/>
    <col min="15110" max="15110" width="9" style="2627"/>
    <col min="15111" max="15111" width="9.375" style="2627" bestFit="1" customWidth="1"/>
    <col min="15112" max="15113" width="9" style="2627"/>
    <col min="15114" max="15114" width="9.375" style="2627" bestFit="1" customWidth="1"/>
    <col min="15115" max="15115" width="4" style="2627" customWidth="1"/>
    <col min="15116" max="15116" width="5.125" style="2627" customWidth="1"/>
    <col min="15117" max="15117" width="13.75" style="2627" customWidth="1"/>
    <col min="15118" max="15360" width="9" style="2627"/>
    <col min="15361" max="15361" width="4.875" style="2627" customWidth="1"/>
    <col min="15362" max="15362" width="13.25" style="2627" customWidth="1"/>
    <col min="15363" max="15363" width="15.625" style="2627" customWidth="1"/>
    <col min="15364" max="15364" width="9.375" style="2627" bestFit="1" customWidth="1"/>
    <col min="15365" max="15365" width="13.5" style="2627" customWidth="1"/>
    <col min="15366" max="15366" width="9" style="2627"/>
    <col min="15367" max="15367" width="9.375" style="2627" bestFit="1" customWidth="1"/>
    <col min="15368" max="15369" width="9" style="2627"/>
    <col min="15370" max="15370" width="9.375" style="2627" bestFit="1" customWidth="1"/>
    <col min="15371" max="15371" width="4" style="2627" customWidth="1"/>
    <col min="15372" max="15372" width="5.125" style="2627" customWidth="1"/>
    <col min="15373" max="15373" width="13.75" style="2627" customWidth="1"/>
    <col min="15374" max="15616" width="9" style="2627"/>
    <col min="15617" max="15617" width="4.875" style="2627" customWidth="1"/>
    <col min="15618" max="15618" width="13.25" style="2627" customWidth="1"/>
    <col min="15619" max="15619" width="15.625" style="2627" customWidth="1"/>
    <col min="15620" max="15620" width="9.375" style="2627" bestFit="1" customWidth="1"/>
    <col min="15621" max="15621" width="13.5" style="2627" customWidth="1"/>
    <col min="15622" max="15622" width="9" style="2627"/>
    <col min="15623" max="15623" width="9.375" style="2627" bestFit="1" customWidth="1"/>
    <col min="15624" max="15625" width="9" style="2627"/>
    <col min="15626" max="15626" width="9.375" style="2627" bestFit="1" customWidth="1"/>
    <col min="15627" max="15627" width="4" style="2627" customWidth="1"/>
    <col min="15628" max="15628" width="5.125" style="2627" customWidth="1"/>
    <col min="15629" max="15629" width="13.75" style="2627" customWidth="1"/>
    <col min="15630" max="15872" width="9" style="2627"/>
    <col min="15873" max="15873" width="4.875" style="2627" customWidth="1"/>
    <col min="15874" max="15874" width="13.25" style="2627" customWidth="1"/>
    <col min="15875" max="15875" width="15.625" style="2627" customWidth="1"/>
    <col min="15876" max="15876" width="9.375" style="2627" bestFit="1" customWidth="1"/>
    <col min="15877" max="15877" width="13.5" style="2627" customWidth="1"/>
    <col min="15878" max="15878" width="9" style="2627"/>
    <col min="15879" max="15879" width="9.375" style="2627" bestFit="1" customWidth="1"/>
    <col min="15880" max="15881" width="9" style="2627"/>
    <col min="15882" max="15882" width="9.375" style="2627" bestFit="1" customWidth="1"/>
    <col min="15883" max="15883" width="4" style="2627" customWidth="1"/>
    <col min="15884" max="15884" width="5.125" style="2627" customWidth="1"/>
    <col min="15885" max="15885" width="13.75" style="2627" customWidth="1"/>
    <col min="15886" max="16128" width="9" style="2627"/>
    <col min="16129" max="16129" width="4.875" style="2627" customWidth="1"/>
    <col min="16130" max="16130" width="13.25" style="2627" customWidth="1"/>
    <col min="16131" max="16131" width="15.625" style="2627" customWidth="1"/>
    <col min="16132" max="16132" width="9.375" style="2627" bestFit="1" customWidth="1"/>
    <col min="16133" max="16133" width="13.5" style="2627" customWidth="1"/>
    <col min="16134" max="16134" width="9" style="2627"/>
    <col min="16135" max="16135" width="9.375" style="2627" bestFit="1" customWidth="1"/>
    <col min="16136" max="16137" width="9" style="2627"/>
    <col min="16138" max="16138" width="9.375" style="2627" bestFit="1" customWidth="1"/>
    <col min="16139" max="16139" width="4" style="2627" customWidth="1"/>
    <col min="16140" max="16140" width="5.125" style="2627" customWidth="1"/>
    <col min="16141" max="16141" width="13.75" style="2627" customWidth="1"/>
    <col min="16142" max="16384" width="9" style="2627"/>
  </cols>
  <sheetData>
    <row r="1" spans="1:257" s="2686" customFormat="1" ht="14.25" thickBot="1">
      <c r="A1" s="2685"/>
      <c r="B1" s="2687" t="s">
        <v>2746</v>
      </c>
      <c r="C1" s="2691">
        <f>项目基本情况!D3</f>
        <v>44574</v>
      </c>
      <c r="H1" s="2626">
        <f>IF(C1&gt;C13,0,MATCH(C1,C$13:C$105,-1))+IF(SUMIF(C13:C105,C1,D13:D105)=0,13,12)</f>
        <v>13</v>
      </c>
      <c r="I1" s="2626">
        <f>MATCH(C2,H3:H7,1)+IF(SUMIF(H3:H7,C2,I3:I7)=0,2,1)</f>
        <v>5</v>
      </c>
      <c r="J1" s="2684">
        <f ca="1">MATCH(C3,H3:H7,1)+IF(SUMIF(H3:H7,C3,J3:J7)=0,2,1)</f>
        <v>2</v>
      </c>
      <c r="N1" s="2626">
        <f>IF(C1&gt;M13,0,MATCH(C1,M$13:M$100,-1))+IF(SUMIF(M13:M100,C1,N13:N100)=0,13,12)</f>
        <v>13</v>
      </c>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c r="EL1" s="2685"/>
      <c r="EM1" s="2685"/>
      <c r="EN1" s="2685"/>
      <c r="EO1" s="2685"/>
      <c r="EP1" s="2685"/>
      <c r="EQ1" s="2685"/>
      <c r="ER1" s="2685"/>
      <c r="ES1" s="2685"/>
      <c r="ET1" s="2685"/>
      <c r="EU1" s="2685"/>
      <c r="EV1" s="2685"/>
      <c r="EW1" s="2685"/>
      <c r="EX1" s="2685"/>
      <c r="EY1" s="2685"/>
      <c r="EZ1" s="2685"/>
      <c r="FA1" s="2685"/>
      <c r="FB1" s="2685"/>
      <c r="FC1" s="2685"/>
      <c r="FD1" s="2685"/>
      <c r="FE1" s="2685"/>
      <c r="FF1" s="2685"/>
      <c r="FG1" s="2685"/>
      <c r="FH1" s="2685"/>
      <c r="FI1" s="2685"/>
      <c r="FJ1" s="2685"/>
      <c r="FK1" s="2685"/>
      <c r="FL1" s="2685"/>
      <c r="FM1" s="2685"/>
      <c r="FN1" s="2685"/>
      <c r="FO1" s="2685"/>
      <c r="FP1" s="2685"/>
      <c r="FQ1" s="2685"/>
      <c r="FR1" s="2685"/>
      <c r="FS1" s="2685"/>
      <c r="FT1" s="2685"/>
      <c r="FU1" s="2685"/>
      <c r="FV1" s="2685"/>
      <c r="FW1" s="2685"/>
      <c r="FX1" s="2685"/>
      <c r="FY1" s="2685"/>
      <c r="FZ1" s="2685"/>
      <c r="GA1" s="2685"/>
      <c r="GB1" s="2685"/>
      <c r="GC1" s="2685"/>
      <c r="GD1" s="2685"/>
      <c r="GE1" s="2685"/>
      <c r="GF1" s="2685"/>
      <c r="GG1" s="2685"/>
      <c r="GH1" s="2685"/>
      <c r="GI1" s="2685"/>
      <c r="GJ1" s="2685"/>
      <c r="GK1" s="2685"/>
      <c r="GL1" s="2685"/>
      <c r="GM1" s="2685"/>
      <c r="GN1" s="2685"/>
      <c r="GO1" s="2685"/>
      <c r="GP1" s="2685"/>
      <c r="GQ1" s="2685"/>
      <c r="GR1" s="2685"/>
      <c r="GS1" s="2685"/>
      <c r="GT1" s="2685"/>
      <c r="GU1" s="2685"/>
      <c r="GV1" s="2685"/>
      <c r="GW1" s="2685"/>
      <c r="GX1" s="2685"/>
      <c r="GY1" s="2685"/>
      <c r="GZ1" s="2685"/>
      <c r="HA1" s="2685"/>
      <c r="HB1" s="2685"/>
      <c r="HC1" s="2685"/>
      <c r="HD1" s="2685"/>
      <c r="HE1" s="2685"/>
      <c r="HF1" s="2685"/>
      <c r="HG1" s="2685"/>
      <c r="HH1" s="2685"/>
      <c r="HI1" s="2685"/>
      <c r="HJ1" s="2685"/>
      <c r="HK1" s="2685"/>
      <c r="HL1" s="2685"/>
      <c r="HM1" s="2685"/>
      <c r="HN1" s="2685"/>
      <c r="HO1" s="2685"/>
      <c r="HP1" s="2685"/>
      <c r="HQ1" s="2685"/>
      <c r="HR1" s="2685"/>
      <c r="HS1" s="2685"/>
      <c r="HT1" s="2685"/>
      <c r="HU1" s="2685"/>
      <c r="HV1" s="2685"/>
      <c r="HW1" s="2685"/>
      <c r="HX1" s="2685"/>
      <c r="HY1" s="2685"/>
      <c r="HZ1" s="2685"/>
      <c r="IA1" s="2685"/>
      <c r="IB1" s="2685"/>
      <c r="IC1" s="2685"/>
      <c r="ID1" s="2685"/>
      <c r="IE1" s="2685"/>
      <c r="IF1" s="2685"/>
      <c r="IG1" s="2685"/>
      <c r="IH1" s="2685"/>
      <c r="II1" s="2685"/>
      <c r="IJ1" s="2685"/>
      <c r="IK1" s="2685"/>
      <c r="IL1" s="2685"/>
      <c r="IM1" s="2685"/>
      <c r="IN1" s="2685"/>
      <c r="IO1" s="2685"/>
      <c r="IP1" s="2685"/>
      <c r="IQ1" s="2685"/>
      <c r="IR1" s="2685"/>
      <c r="IS1" s="2685"/>
      <c r="IT1" s="2685"/>
      <c r="IU1" s="2685"/>
      <c r="IV1" s="2685"/>
    </row>
    <row r="2" spans="1:257" s="2683" customFormat="1" ht="15" thickTop="1" thickBot="1">
      <c r="A2" s="2628"/>
      <c r="B2" s="2688" t="s">
        <v>2777</v>
      </c>
      <c r="C2" s="2692">
        <f>'数据-取费表'!B22</f>
        <v>2</v>
      </c>
      <c r="D2" s="2687" t="s">
        <v>2747</v>
      </c>
      <c r="E2" s="2690">
        <f ca="1">INDIRECT("I"&amp;$I$1)/100</f>
        <v>3.85E-2</v>
      </c>
      <c r="G2" s="2628"/>
      <c r="H2" s="2628"/>
      <c r="I2" s="2628" t="s">
        <v>2748</v>
      </c>
      <c r="K2" s="2628"/>
      <c r="L2" s="2628"/>
      <c r="M2" s="2628"/>
      <c r="N2" s="2628" t="s">
        <v>2749</v>
      </c>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c r="AO2" s="2628"/>
      <c r="AP2" s="2628"/>
      <c r="AQ2" s="2628"/>
      <c r="AR2" s="2628"/>
      <c r="AS2" s="2628"/>
      <c r="AT2" s="2628"/>
      <c r="AU2" s="2628"/>
      <c r="AV2" s="2628"/>
      <c r="AW2" s="2628"/>
      <c r="AX2" s="2628"/>
      <c r="AY2" s="2628"/>
      <c r="AZ2" s="2628"/>
      <c r="BA2" s="2628"/>
      <c r="BB2" s="2628"/>
      <c r="BC2" s="2628"/>
      <c r="BD2" s="2628"/>
      <c r="BE2" s="2628"/>
      <c r="BF2" s="2628"/>
      <c r="BG2" s="2628"/>
      <c r="BH2" s="2628"/>
      <c r="BI2" s="2628"/>
      <c r="BJ2" s="2628"/>
      <c r="BK2" s="2628"/>
      <c r="BL2" s="2628"/>
      <c r="BM2" s="2628"/>
      <c r="BN2" s="2628"/>
      <c r="BO2" s="2628"/>
      <c r="BP2" s="2628"/>
      <c r="BQ2" s="2628"/>
      <c r="BR2" s="2628"/>
      <c r="BS2" s="2628"/>
      <c r="BT2" s="2628"/>
      <c r="BU2" s="2628"/>
      <c r="BV2" s="2628"/>
      <c r="BW2" s="2628"/>
      <c r="BX2" s="2628"/>
      <c r="BY2" s="2628"/>
      <c r="BZ2" s="2628"/>
      <c r="CA2" s="2628"/>
      <c r="CB2" s="2628"/>
      <c r="CC2" s="2628"/>
      <c r="CD2" s="2628"/>
      <c r="CE2" s="2628"/>
      <c r="CF2" s="2628"/>
      <c r="CG2" s="2628"/>
      <c r="CH2" s="2628"/>
      <c r="CI2" s="2628"/>
      <c r="CJ2" s="2628"/>
      <c r="CK2" s="2628"/>
      <c r="CL2" s="2628"/>
      <c r="CM2" s="2628"/>
      <c r="CN2" s="2628"/>
      <c r="CO2" s="2628"/>
      <c r="CP2" s="2628"/>
      <c r="CQ2" s="2628"/>
      <c r="CR2" s="2628"/>
      <c r="CS2" s="2628"/>
      <c r="CT2" s="2628"/>
      <c r="CU2" s="2628"/>
      <c r="CV2" s="2628"/>
      <c r="CW2" s="2628"/>
      <c r="CX2" s="2628"/>
      <c r="CY2" s="2628"/>
      <c r="CZ2" s="2628"/>
      <c r="DA2" s="2628"/>
      <c r="DB2" s="2628"/>
      <c r="DC2" s="2628"/>
      <c r="DD2" s="2628"/>
      <c r="DE2" s="2628"/>
      <c r="DF2" s="2628"/>
      <c r="DG2" s="2628"/>
      <c r="DH2" s="2628"/>
      <c r="DI2" s="2628"/>
      <c r="DJ2" s="2628"/>
      <c r="DK2" s="2628"/>
      <c r="DL2" s="2628"/>
      <c r="DM2" s="2628"/>
      <c r="DN2" s="2628"/>
      <c r="DO2" s="2628"/>
      <c r="DP2" s="2628"/>
      <c r="DQ2" s="2628"/>
      <c r="DR2" s="2628"/>
      <c r="DS2" s="2628"/>
      <c r="DT2" s="2628"/>
      <c r="DU2" s="2628"/>
      <c r="DV2" s="2628"/>
      <c r="DW2" s="2628"/>
      <c r="DX2" s="2628"/>
      <c r="DY2" s="2628"/>
      <c r="DZ2" s="2628"/>
      <c r="EA2" s="2628"/>
      <c r="EB2" s="2628"/>
      <c r="EC2" s="2628"/>
      <c r="ED2" s="2628"/>
      <c r="EE2" s="2628"/>
      <c r="EF2" s="2628"/>
      <c r="EG2" s="2628"/>
      <c r="EH2" s="2628"/>
      <c r="EI2" s="2628"/>
      <c r="EJ2" s="2628"/>
      <c r="EK2" s="2628"/>
      <c r="EL2" s="2628"/>
      <c r="EM2" s="2628"/>
      <c r="EN2" s="2628"/>
      <c r="EO2" s="2628"/>
      <c r="EP2" s="2628"/>
      <c r="EQ2" s="2628"/>
      <c r="ER2" s="2628"/>
      <c r="ES2" s="2628"/>
      <c r="ET2" s="2628"/>
      <c r="EU2" s="2628"/>
      <c r="EV2" s="2628"/>
      <c r="EW2" s="2628"/>
      <c r="EX2" s="2628"/>
      <c r="EY2" s="2628"/>
      <c r="EZ2" s="2628"/>
      <c r="FA2" s="2628"/>
      <c r="FB2" s="2628"/>
      <c r="FC2" s="2628"/>
      <c r="FD2" s="2628"/>
      <c r="FE2" s="2628"/>
      <c r="FF2" s="2628"/>
      <c r="FG2" s="2628"/>
      <c r="FH2" s="2628"/>
      <c r="FI2" s="2628"/>
      <c r="FJ2" s="2628"/>
      <c r="FK2" s="2628"/>
      <c r="FL2" s="2628"/>
      <c r="FM2" s="2628"/>
      <c r="FN2" s="2628"/>
      <c r="FO2" s="2628"/>
      <c r="FP2" s="2628"/>
      <c r="FQ2" s="2628"/>
      <c r="FR2" s="2628"/>
      <c r="FS2" s="2628"/>
      <c r="FT2" s="2628"/>
      <c r="FU2" s="2628"/>
      <c r="FV2" s="2628"/>
      <c r="FW2" s="2628"/>
      <c r="FX2" s="2628"/>
      <c r="FY2" s="2628"/>
      <c r="FZ2" s="2628"/>
      <c r="GA2" s="2628"/>
      <c r="GB2" s="2628"/>
      <c r="GC2" s="2628"/>
      <c r="GD2" s="2628"/>
      <c r="GE2" s="2628"/>
      <c r="GF2" s="2628"/>
      <c r="GG2" s="2628"/>
      <c r="GH2" s="2628"/>
      <c r="GI2" s="2628"/>
      <c r="GJ2" s="2628"/>
      <c r="GK2" s="2628"/>
      <c r="GL2" s="2628"/>
      <c r="GM2" s="2628"/>
      <c r="GN2" s="2628"/>
      <c r="GO2" s="2628"/>
      <c r="GP2" s="2628"/>
      <c r="GQ2" s="2628"/>
      <c r="GR2" s="2628"/>
      <c r="GS2" s="2628"/>
      <c r="GT2" s="2628"/>
      <c r="GU2" s="2628"/>
      <c r="GV2" s="2628"/>
      <c r="GW2" s="2628"/>
      <c r="GX2" s="2628"/>
      <c r="GY2" s="2628"/>
      <c r="GZ2" s="2628"/>
      <c r="HA2" s="2628"/>
      <c r="HB2" s="2628"/>
      <c r="HC2" s="2628"/>
      <c r="HD2" s="2628"/>
      <c r="HE2" s="2628"/>
      <c r="HF2" s="2628"/>
      <c r="HG2" s="2628"/>
      <c r="HH2" s="2628"/>
      <c r="HI2" s="2628"/>
      <c r="HJ2" s="2628"/>
      <c r="HK2" s="2628"/>
      <c r="HL2" s="2628"/>
      <c r="HM2" s="2628"/>
      <c r="HN2" s="2628"/>
      <c r="HO2" s="2628"/>
      <c r="HP2" s="2628"/>
      <c r="HQ2" s="2628"/>
      <c r="HR2" s="2628"/>
      <c r="HS2" s="2628"/>
      <c r="HT2" s="2628"/>
      <c r="HU2" s="2628"/>
      <c r="HV2" s="2628"/>
      <c r="HW2" s="2628"/>
      <c r="HX2" s="2628"/>
      <c r="HY2" s="2628"/>
      <c r="HZ2" s="2628"/>
      <c r="IA2" s="2628"/>
      <c r="IB2" s="2628"/>
      <c r="IC2" s="2628"/>
      <c r="ID2" s="2628"/>
      <c r="IE2" s="2628"/>
      <c r="IF2" s="2628"/>
      <c r="IG2" s="2628"/>
      <c r="IH2" s="2628"/>
      <c r="II2" s="2628"/>
      <c r="IJ2" s="2628"/>
      <c r="IK2" s="2628"/>
      <c r="IL2" s="2628"/>
      <c r="IM2" s="2628"/>
      <c r="IN2" s="2628"/>
      <c r="IO2" s="2628"/>
      <c r="IP2" s="2628"/>
      <c r="IQ2" s="2628"/>
      <c r="IR2" s="2628"/>
      <c r="IS2" s="2628"/>
      <c r="IT2" s="2628"/>
      <c r="IU2" s="2628"/>
      <c r="IV2" s="2628"/>
      <c r="IW2" s="2628"/>
    </row>
    <row r="3" spans="1:257" s="2683" customFormat="1">
      <c r="A3" s="2629"/>
      <c r="B3" s="2687" t="s">
        <v>2779</v>
      </c>
      <c r="C3" s="2689">
        <f>'数据-取费表'!B19</f>
        <v>0</v>
      </c>
      <c r="D3" s="2687" t="s">
        <v>2747</v>
      </c>
      <c r="E3" s="2690">
        <f ca="1">INDIRECT("J"&amp;$J$1)/100</f>
        <v>0</v>
      </c>
      <c r="G3" s="2630" t="s">
        <v>2750</v>
      </c>
      <c r="H3" s="2631">
        <v>0</v>
      </c>
      <c r="I3" s="2632">
        <f ca="1">INDIRECT("d"&amp;$H$1)</f>
        <v>3.85</v>
      </c>
      <c r="J3" s="2632">
        <f ca="1">INDIRECT("d"&amp;$H$1)</f>
        <v>3.85</v>
      </c>
      <c r="K3" s="2629"/>
      <c r="L3" s="2629"/>
      <c r="M3" s="2633">
        <v>0.5</v>
      </c>
      <c r="N3" s="2634">
        <f ca="1">INDIRECT("p"&amp;$N$1)</f>
        <v>1.3</v>
      </c>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629"/>
      <c r="AZ3" s="2629"/>
      <c r="BA3" s="2629"/>
      <c r="BB3" s="2629"/>
      <c r="BC3" s="2629"/>
      <c r="BD3" s="2629"/>
      <c r="BE3" s="2629"/>
      <c r="BF3" s="2629"/>
      <c r="BG3" s="2629"/>
      <c r="BH3" s="2629"/>
      <c r="BI3" s="2629"/>
      <c r="BJ3" s="2629"/>
      <c r="BK3" s="2629"/>
      <c r="BL3" s="2629"/>
      <c r="BM3" s="2629"/>
      <c r="BN3" s="2629"/>
      <c r="BO3" s="2629"/>
      <c r="BP3" s="2629"/>
      <c r="BQ3" s="2629"/>
      <c r="BR3" s="2629"/>
      <c r="BS3" s="2629"/>
      <c r="BT3" s="2629"/>
      <c r="BU3" s="2629"/>
      <c r="BV3" s="2629"/>
      <c r="BW3" s="2629"/>
      <c r="BX3" s="2629"/>
      <c r="BY3" s="2629"/>
      <c r="BZ3" s="2629"/>
      <c r="CA3" s="2629"/>
      <c r="CB3" s="2629"/>
      <c r="CC3" s="2629"/>
      <c r="CD3" s="2629"/>
      <c r="CE3" s="2629"/>
      <c r="CF3" s="2629"/>
      <c r="CG3" s="2629"/>
      <c r="CH3" s="2629"/>
      <c r="CI3" s="2629"/>
      <c r="CJ3" s="2629"/>
      <c r="CK3" s="2629"/>
      <c r="CL3" s="2629"/>
      <c r="CM3" s="2629"/>
      <c r="CN3" s="2629"/>
      <c r="CO3" s="2629"/>
      <c r="CP3" s="2629"/>
      <c r="CQ3" s="2629"/>
      <c r="CR3" s="2629"/>
      <c r="CS3" s="2629"/>
      <c r="CT3" s="2629"/>
      <c r="CU3" s="2629"/>
      <c r="CV3" s="2629"/>
      <c r="CW3" s="2629"/>
      <c r="CX3" s="2629"/>
      <c r="CY3" s="2629"/>
      <c r="CZ3" s="2629"/>
      <c r="DA3" s="2629"/>
      <c r="DB3" s="2629"/>
      <c r="DC3" s="2629"/>
      <c r="DD3" s="2629"/>
      <c r="DE3" s="2629"/>
      <c r="DF3" s="2629"/>
      <c r="DG3" s="2629"/>
      <c r="DH3" s="2629"/>
      <c r="DI3" s="2629"/>
      <c r="DJ3" s="2629"/>
      <c r="DK3" s="2629"/>
      <c r="DL3" s="2629"/>
      <c r="DM3" s="2629"/>
      <c r="DN3" s="2629"/>
      <c r="DO3" s="2629"/>
      <c r="DP3" s="2629"/>
      <c r="DQ3" s="2629"/>
      <c r="DR3" s="2629"/>
      <c r="DS3" s="2629"/>
      <c r="DT3" s="2629"/>
      <c r="DU3" s="2629"/>
      <c r="DV3" s="2629"/>
      <c r="DW3" s="2629"/>
      <c r="DX3" s="2629"/>
      <c r="DY3" s="2629"/>
      <c r="DZ3" s="2629"/>
      <c r="EA3" s="2629"/>
      <c r="EB3" s="2629"/>
      <c r="EC3" s="2629"/>
      <c r="ED3" s="2629"/>
      <c r="EE3" s="2629"/>
      <c r="EF3" s="2629"/>
      <c r="EG3" s="2629"/>
      <c r="EH3" s="2629"/>
      <c r="EI3" s="2629"/>
      <c r="EJ3" s="2629"/>
      <c r="EK3" s="2629"/>
      <c r="EL3" s="2629"/>
      <c r="EM3" s="2629"/>
      <c r="EN3" s="2629"/>
      <c r="EO3" s="2629"/>
      <c r="EP3" s="2629"/>
      <c r="EQ3" s="2629"/>
      <c r="ER3" s="2629"/>
      <c r="ES3" s="2629"/>
      <c r="ET3" s="2629"/>
      <c r="EU3" s="2629"/>
      <c r="EV3" s="2629"/>
      <c r="EW3" s="2629"/>
      <c r="EX3" s="2629"/>
      <c r="EY3" s="2629"/>
      <c r="EZ3" s="2629"/>
      <c r="FA3" s="2629"/>
      <c r="FB3" s="2629"/>
      <c r="FC3" s="2629"/>
      <c r="FD3" s="2629"/>
      <c r="FE3" s="2629"/>
      <c r="FF3" s="2629"/>
      <c r="FG3" s="2629"/>
      <c r="FH3" s="2629"/>
      <c r="FI3" s="2629"/>
      <c r="FJ3" s="2629"/>
      <c r="FK3" s="2629"/>
      <c r="FL3" s="2629"/>
      <c r="FM3" s="2629"/>
      <c r="FN3" s="2629"/>
      <c r="FO3" s="2629"/>
      <c r="FP3" s="2629"/>
      <c r="FQ3" s="2629"/>
      <c r="FR3" s="2629"/>
      <c r="FS3" s="2629"/>
      <c r="FT3" s="2629"/>
      <c r="FU3" s="2629"/>
      <c r="FV3" s="2629"/>
      <c r="FW3" s="2629"/>
      <c r="FX3" s="2629"/>
      <c r="FY3" s="2629"/>
      <c r="FZ3" s="2629"/>
      <c r="GA3" s="2629"/>
      <c r="GB3" s="2629"/>
      <c r="GC3" s="2629"/>
      <c r="GD3" s="2629"/>
      <c r="GE3" s="2629"/>
      <c r="GF3" s="2629"/>
      <c r="GG3" s="2629"/>
      <c r="GH3" s="2629"/>
      <c r="GI3" s="2629"/>
      <c r="GJ3" s="2629"/>
      <c r="GK3" s="2629"/>
      <c r="GL3" s="2629"/>
      <c r="GM3" s="2629"/>
      <c r="GN3" s="2629"/>
      <c r="GO3" s="2629"/>
      <c r="GP3" s="2629"/>
      <c r="GQ3" s="2629"/>
      <c r="GR3" s="2629"/>
      <c r="GS3" s="2629"/>
      <c r="GT3" s="2629"/>
      <c r="GU3" s="2629"/>
      <c r="GV3" s="2629"/>
      <c r="GW3" s="2629"/>
      <c r="GX3" s="2629"/>
      <c r="GY3" s="2629"/>
      <c r="GZ3" s="2629"/>
      <c r="HA3" s="2629"/>
      <c r="HB3" s="2629"/>
      <c r="HC3" s="2629"/>
      <c r="HD3" s="2629"/>
      <c r="HE3" s="2629"/>
      <c r="HF3" s="2629"/>
      <c r="HG3" s="2629"/>
      <c r="HH3" s="2629"/>
      <c r="HI3" s="2629"/>
      <c r="HJ3" s="2629"/>
      <c r="HK3" s="2629"/>
      <c r="HL3" s="2629"/>
      <c r="HM3" s="2629"/>
      <c r="HN3" s="2629"/>
      <c r="HO3" s="2629"/>
      <c r="HP3" s="2629"/>
      <c r="HQ3" s="2629"/>
      <c r="HR3" s="2629"/>
      <c r="HS3" s="2629"/>
      <c r="HT3" s="2629"/>
      <c r="HU3" s="2629"/>
      <c r="HV3" s="2629"/>
      <c r="HW3" s="2629"/>
      <c r="HX3" s="2629"/>
      <c r="HY3" s="2629"/>
      <c r="HZ3" s="2629"/>
      <c r="IA3" s="2629"/>
      <c r="IB3" s="2629"/>
      <c r="IC3" s="2629"/>
      <c r="ID3" s="2629"/>
      <c r="IE3" s="2629"/>
      <c r="IF3" s="2629"/>
      <c r="IG3" s="2629"/>
      <c r="IH3" s="2629"/>
      <c r="II3" s="2629"/>
      <c r="IJ3" s="2629"/>
      <c r="IK3" s="2629"/>
      <c r="IL3" s="2629"/>
      <c r="IM3" s="2629"/>
      <c r="IN3" s="2629"/>
      <c r="IO3" s="2629"/>
      <c r="IP3" s="2629"/>
      <c r="IQ3" s="2629"/>
      <c r="IR3" s="2629"/>
      <c r="IS3" s="2629"/>
      <c r="IT3" s="2629"/>
      <c r="IU3" s="2629"/>
      <c r="IV3" s="2629"/>
    </row>
    <row r="4" spans="1:257" s="2683" customFormat="1">
      <c r="A4" s="2629"/>
      <c r="B4" s="2687" t="s">
        <v>2778</v>
      </c>
      <c r="C4" s="2690">
        <f ca="1">N4/100</f>
        <v>1.4999999999999999E-2</v>
      </c>
      <c r="G4" s="2636" t="s">
        <v>2751</v>
      </c>
      <c r="H4" s="2637">
        <v>0.5</v>
      </c>
      <c r="I4" s="2638">
        <f ca="1">INDIRECT("e"&amp;$H$1)</f>
        <v>3.85</v>
      </c>
      <c r="J4" s="2638">
        <f ca="1">INDIRECT("e"&amp;$H$1)</f>
        <v>3.85</v>
      </c>
      <c r="K4" s="2629"/>
      <c r="L4" s="2629"/>
      <c r="M4" s="2639">
        <v>1</v>
      </c>
      <c r="N4" s="2640">
        <f ca="1">INDIRECT("q"&amp;$N$1)</f>
        <v>1.5</v>
      </c>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c r="BU4" s="2629"/>
      <c r="BV4" s="2629"/>
      <c r="BW4" s="2629"/>
      <c r="BX4" s="2629"/>
      <c r="BY4" s="2629"/>
      <c r="BZ4" s="2629"/>
      <c r="CA4" s="2629"/>
      <c r="CB4" s="2629"/>
      <c r="CC4" s="2629"/>
      <c r="CD4" s="2629"/>
      <c r="CE4" s="2629"/>
      <c r="CF4" s="2629"/>
      <c r="CG4" s="2629"/>
      <c r="CH4" s="2629"/>
      <c r="CI4" s="2629"/>
      <c r="CJ4" s="2629"/>
      <c r="CK4" s="2629"/>
      <c r="CL4" s="2629"/>
      <c r="CM4" s="2629"/>
      <c r="CN4" s="2629"/>
      <c r="CO4" s="2629"/>
      <c r="CP4" s="2629"/>
      <c r="CQ4" s="2629"/>
      <c r="CR4" s="2629"/>
      <c r="CS4" s="2629"/>
      <c r="CT4" s="2629"/>
      <c r="CU4" s="2629"/>
      <c r="CV4" s="2629"/>
      <c r="CW4" s="2629"/>
      <c r="CX4" s="2629"/>
      <c r="CY4" s="2629"/>
      <c r="CZ4" s="2629"/>
      <c r="DA4" s="2629"/>
      <c r="DB4" s="2629"/>
      <c r="DC4" s="2629"/>
      <c r="DD4" s="2629"/>
      <c r="DE4" s="2629"/>
      <c r="DF4" s="2629"/>
      <c r="DG4" s="2629"/>
      <c r="DH4" s="2629"/>
      <c r="DI4" s="2629"/>
      <c r="DJ4" s="2629"/>
      <c r="DK4" s="2629"/>
      <c r="DL4" s="2629"/>
      <c r="DM4" s="2629"/>
      <c r="DN4" s="2629"/>
      <c r="DO4" s="2629"/>
      <c r="DP4" s="2629"/>
      <c r="DQ4" s="2629"/>
      <c r="DR4" s="2629"/>
      <c r="DS4" s="2629"/>
      <c r="DT4" s="2629"/>
      <c r="DU4" s="2629"/>
      <c r="DV4" s="2629"/>
      <c r="DW4" s="2629"/>
      <c r="DX4" s="2629"/>
      <c r="DY4" s="2629"/>
      <c r="DZ4" s="2629"/>
      <c r="EA4" s="2629"/>
      <c r="EB4" s="2629"/>
      <c r="EC4" s="2629"/>
      <c r="ED4" s="2629"/>
      <c r="EE4" s="2629"/>
      <c r="EF4" s="2629"/>
      <c r="EG4" s="2629"/>
      <c r="EH4" s="2629"/>
      <c r="EI4" s="2629"/>
      <c r="EJ4" s="2629"/>
      <c r="EK4" s="2629"/>
      <c r="EL4" s="2629"/>
      <c r="EM4" s="2629"/>
      <c r="EN4" s="2629"/>
      <c r="EO4" s="2629"/>
      <c r="EP4" s="2629"/>
      <c r="EQ4" s="2629"/>
      <c r="ER4" s="2629"/>
      <c r="ES4" s="2629"/>
      <c r="ET4" s="2629"/>
      <c r="EU4" s="2629"/>
      <c r="EV4" s="2629"/>
      <c r="EW4" s="2629"/>
      <c r="EX4" s="2629"/>
      <c r="EY4" s="2629"/>
      <c r="EZ4" s="2629"/>
      <c r="FA4" s="2629"/>
      <c r="FB4" s="2629"/>
      <c r="FC4" s="2629"/>
      <c r="FD4" s="2629"/>
      <c r="FE4" s="2629"/>
      <c r="FF4" s="2629"/>
      <c r="FG4" s="2629"/>
      <c r="FH4" s="2629"/>
      <c r="FI4" s="2629"/>
      <c r="FJ4" s="2629"/>
      <c r="FK4" s="2629"/>
      <c r="FL4" s="2629"/>
      <c r="FM4" s="2629"/>
      <c r="FN4" s="2629"/>
      <c r="FO4" s="2629"/>
      <c r="FP4" s="2629"/>
      <c r="FQ4" s="2629"/>
      <c r="FR4" s="2629"/>
      <c r="FS4" s="2629"/>
      <c r="FT4" s="2629"/>
      <c r="FU4" s="2629"/>
      <c r="FV4" s="2629"/>
      <c r="FW4" s="2629"/>
      <c r="FX4" s="2629"/>
      <c r="FY4" s="2629"/>
      <c r="FZ4" s="2629"/>
      <c r="GA4" s="2629"/>
      <c r="GB4" s="2629"/>
      <c r="GC4" s="2629"/>
      <c r="GD4" s="2629"/>
      <c r="GE4" s="2629"/>
      <c r="GF4" s="2629"/>
      <c r="GG4" s="2629"/>
      <c r="GH4" s="2629"/>
      <c r="GI4" s="2629"/>
      <c r="GJ4" s="2629"/>
      <c r="GK4" s="2629"/>
      <c r="GL4" s="2629"/>
      <c r="GM4" s="2629"/>
      <c r="GN4" s="2629"/>
      <c r="GO4" s="2629"/>
      <c r="GP4" s="2629"/>
      <c r="GQ4" s="2629"/>
      <c r="GR4" s="2629"/>
      <c r="GS4" s="2629"/>
      <c r="GT4" s="2629"/>
      <c r="GU4" s="2629"/>
      <c r="GV4" s="2629"/>
      <c r="GW4" s="2629"/>
      <c r="GX4" s="2629"/>
      <c r="GY4" s="2629"/>
      <c r="GZ4" s="2629"/>
      <c r="HA4" s="2629"/>
      <c r="HB4" s="2629"/>
      <c r="HC4" s="2629"/>
      <c r="HD4" s="2629"/>
      <c r="HE4" s="2629"/>
      <c r="HF4" s="2629"/>
      <c r="HG4" s="2629"/>
      <c r="HH4" s="2629"/>
      <c r="HI4" s="2629"/>
      <c r="HJ4" s="2629"/>
      <c r="HK4" s="2629"/>
      <c r="HL4" s="2629"/>
      <c r="HM4" s="2629"/>
      <c r="HN4" s="2629"/>
      <c r="HO4" s="2629"/>
      <c r="HP4" s="2629"/>
      <c r="HQ4" s="2629"/>
      <c r="HR4" s="2629"/>
      <c r="HS4" s="2629"/>
      <c r="HT4" s="2629"/>
      <c r="HU4" s="2629"/>
      <c r="HV4" s="2629"/>
      <c r="HW4" s="2629"/>
      <c r="HX4" s="2629"/>
      <c r="HY4" s="2629"/>
      <c r="HZ4" s="2629"/>
      <c r="IA4" s="2629"/>
      <c r="IB4" s="2629"/>
      <c r="IC4" s="2629"/>
      <c r="ID4" s="2629"/>
      <c r="IE4" s="2629"/>
      <c r="IF4" s="2629"/>
      <c r="IG4" s="2629"/>
      <c r="IH4" s="2629"/>
      <c r="II4" s="2629"/>
      <c r="IJ4" s="2629"/>
      <c r="IK4" s="2629"/>
      <c r="IL4" s="2629"/>
      <c r="IM4" s="2629"/>
      <c r="IN4" s="2629"/>
      <c r="IO4" s="2629"/>
      <c r="IP4" s="2629"/>
      <c r="IQ4" s="2629"/>
      <c r="IR4" s="2629"/>
      <c r="IS4" s="2629"/>
      <c r="IT4" s="2629"/>
      <c r="IU4" s="2629"/>
      <c r="IV4" s="2629"/>
    </row>
    <row r="5" spans="1:257" s="2683" customFormat="1">
      <c r="A5" s="2629"/>
      <c r="G5" s="2636" t="s">
        <v>2752</v>
      </c>
      <c r="H5" s="2637">
        <v>1</v>
      </c>
      <c r="I5" s="2638">
        <f ca="1">INDIRECT("f"&amp;$H$1)</f>
        <v>3.85</v>
      </c>
      <c r="J5" s="2638">
        <f ca="1">INDIRECT("f"&amp;$H$1)</f>
        <v>3.85</v>
      </c>
      <c r="K5" s="2629"/>
      <c r="L5" s="2629"/>
      <c r="M5" s="2639">
        <v>2</v>
      </c>
      <c r="N5" s="2640">
        <f ca="1">INDIRECT("r"&amp;$N$1)</f>
        <v>2.1</v>
      </c>
      <c r="O5" s="2629"/>
      <c r="P5" s="2629"/>
      <c r="Q5" s="2629"/>
      <c r="R5" s="2629"/>
      <c r="S5" s="2629"/>
      <c r="T5" s="2629"/>
      <c r="U5" s="2629"/>
      <c r="V5" s="2629"/>
      <c r="W5" s="2629"/>
      <c r="X5" s="2629"/>
      <c r="Y5" s="2629"/>
      <c r="Z5" s="2629"/>
      <c r="AA5" s="2629"/>
      <c r="AB5" s="2629"/>
      <c r="AC5" s="2629"/>
      <c r="AD5" s="2629"/>
      <c r="AE5" s="2629"/>
      <c r="AF5" s="2629"/>
      <c r="AG5" s="2629"/>
      <c r="AH5" s="2629"/>
      <c r="AI5" s="2629"/>
      <c r="AJ5" s="2629"/>
      <c r="AK5" s="2629"/>
      <c r="AL5" s="2629"/>
      <c r="AM5" s="2629"/>
      <c r="AN5" s="2629"/>
      <c r="AO5" s="2629"/>
      <c r="AP5" s="2629"/>
      <c r="AQ5" s="2629"/>
      <c r="AR5" s="2629"/>
      <c r="AS5" s="2629"/>
      <c r="AT5" s="2629"/>
      <c r="AU5" s="2629"/>
      <c r="AV5" s="2629"/>
      <c r="AW5" s="2629"/>
      <c r="AX5" s="2629"/>
      <c r="AY5" s="2629"/>
      <c r="AZ5" s="2629"/>
      <c r="BA5" s="2629"/>
      <c r="BB5" s="2629"/>
      <c r="BC5" s="2629"/>
      <c r="BD5" s="2629"/>
      <c r="BE5" s="2629"/>
      <c r="BF5" s="2629"/>
      <c r="BG5" s="2629"/>
      <c r="BH5" s="2629"/>
      <c r="BI5" s="2629"/>
      <c r="BJ5" s="2629"/>
      <c r="BK5" s="2629"/>
      <c r="BL5" s="2629"/>
      <c r="BM5" s="2629"/>
      <c r="BN5" s="2629"/>
      <c r="BO5" s="2629"/>
      <c r="BP5" s="2629"/>
      <c r="BQ5" s="2629"/>
      <c r="BR5" s="2629"/>
      <c r="BS5" s="2629"/>
      <c r="BT5" s="2629"/>
      <c r="BU5" s="2629"/>
      <c r="BV5" s="2629"/>
      <c r="BW5" s="2629"/>
      <c r="BX5" s="2629"/>
      <c r="BY5" s="2629"/>
      <c r="BZ5" s="2629"/>
      <c r="CA5" s="2629"/>
      <c r="CB5" s="2629"/>
      <c r="CC5" s="2629"/>
      <c r="CD5" s="2629"/>
      <c r="CE5" s="2629"/>
      <c r="CF5" s="2629"/>
      <c r="CG5" s="2629"/>
      <c r="CH5" s="2629"/>
      <c r="CI5" s="2629"/>
      <c r="CJ5" s="2629"/>
      <c r="CK5" s="2629"/>
      <c r="CL5" s="2629"/>
      <c r="CM5" s="2629"/>
      <c r="CN5" s="2629"/>
      <c r="CO5" s="2629"/>
      <c r="CP5" s="2629"/>
      <c r="CQ5" s="2629"/>
      <c r="CR5" s="2629"/>
      <c r="CS5" s="2629"/>
      <c r="CT5" s="2629"/>
      <c r="CU5" s="2629"/>
      <c r="CV5" s="2629"/>
      <c r="CW5" s="2629"/>
      <c r="CX5" s="2629"/>
      <c r="CY5" s="2629"/>
      <c r="CZ5" s="2629"/>
      <c r="DA5" s="2629"/>
      <c r="DB5" s="2629"/>
      <c r="DC5" s="2629"/>
      <c r="DD5" s="2629"/>
      <c r="DE5" s="2629"/>
      <c r="DF5" s="2629"/>
      <c r="DG5" s="2629"/>
      <c r="DH5" s="2629"/>
      <c r="DI5" s="2629"/>
      <c r="DJ5" s="2629"/>
      <c r="DK5" s="2629"/>
      <c r="DL5" s="2629"/>
      <c r="DM5" s="2629"/>
      <c r="DN5" s="2629"/>
      <c r="DO5" s="2629"/>
      <c r="DP5" s="2629"/>
      <c r="DQ5" s="2629"/>
      <c r="DR5" s="2629"/>
      <c r="DS5" s="2629"/>
      <c r="DT5" s="2629"/>
      <c r="DU5" s="2629"/>
      <c r="DV5" s="2629"/>
      <c r="DW5" s="2629"/>
      <c r="DX5" s="2629"/>
      <c r="DY5" s="2629"/>
      <c r="DZ5" s="2629"/>
      <c r="EA5" s="2629"/>
      <c r="EB5" s="2629"/>
      <c r="EC5" s="2629"/>
      <c r="ED5" s="2629"/>
      <c r="EE5" s="2629"/>
      <c r="EF5" s="2629"/>
      <c r="EG5" s="2629"/>
      <c r="EH5" s="2629"/>
      <c r="EI5" s="2629"/>
      <c r="EJ5" s="2629"/>
      <c r="EK5" s="2629"/>
      <c r="EL5" s="2629"/>
      <c r="EM5" s="2629"/>
      <c r="EN5" s="2629"/>
      <c r="EO5" s="2629"/>
      <c r="EP5" s="2629"/>
      <c r="EQ5" s="2629"/>
      <c r="ER5" s="2629"/>
      <c r="ES5" s="2629"/>
      <c r="ET5" s="2629"/>
      <c r="EU5" s="2629"/>
      <c r="EV5" s="2629"/>
      <c r="EW5" s="2629"/>
      <c r="EX5" s="2629"/>
      <c r="EY5" s="2629"/>
      <c r="EZ5" s="2629"/>
      <c r="FA5" s="2629"/>
      <c r="FB5" s="2629"/>
      <c r="FC5" s="2629"/>
      <c r="FD5" s="2629"/>
      <c r="FE5" s="2629"/>
      <c r="FF5" s="2629"/>
      <c r="FG5" s="2629"/>
      <c r="FH5" s="2629"/>
      <c r="FI5" s="2629"/>
      <c r="FJ5" s="2629"/>
      <c r="FK5" s="2629"/>
      <c r="FL5" s="2629"/>
      <c r="FM5" s="2629"/>
      <c r="FN5" s="2629"/>
      <c r="FO5" s="2629"/>
      <c r="FP5" s="2629"/>
      <c r="FQ5" s="2629"/>
      <c r="FR5" s="2629"/>
      <c r="FS5" s="2629"/>
      <c r="FT5" s="2629"/>
      <c r="FU5" s="2629"/>
      <c r="FV5" s="2629"/>
      <c r="FW5" s="2629"/>
      <c r="FX5" s="2629"/>
      <c r="FY5" s="2629"/>
      <c r="FZ5" s="2629"/>
      <c r="GA5" s="2629"/>
      <c r="GB5" s="2629"/>
      <c r="GC5" s="2629"/>
      <c r="GD5" s="2629"/>
      <c r="GE5" s="2629"/>
      <c r="GF5" s="2629"/>
      <c r="GG5" s="2629"/>
      <c r="GH5" s="2629"/>
      <c r="GI5" s="2629"/>
      <c r="GJ5" s="2629"/>
      <c r="GK5" s="2629"/>
      <c r="GL5" s="2629"/>
      <c r="GM5" s="2629"/>
      <c r="GN5" s="2629"/>
      <c r="GO5" s="2629"/>
      <c r="GP5" s="2629"/>
      <c r="GQ5" s="2629"/>
      <c r="GR5" s="2629"/>
      <c r="GS5" s="2629"/>
      <c r="GT5" s="2629"/>
      <c r="GU5" s="2629"/>
      <c r="GV5" s="2629"/>
      <c r="GW5" s="2629"/>
      <c r="GX5" s="2629"/>
      <c r="GY5" s="2629"/>
      <c r="GZ5" s="2629"/>
      <c r="HA5" s="2629"/>
      <c r="HB5" s="2629"/>
      <c r="HC5" s="2629"/>
      <c r="HD5" s="2629"/>
      <c r="HE5" s="2629"/>
      <c r="HF5" s="2629"/>
      <c r="HG5" s="2629"/>
      <c r="HH5" s="2629"/>
      <c r="HI5" s="2629"/>
      <c r="HJ5" s="2629"/>
      <c r="HK5" s="2629"/>
      <c r="HL5" s="2629"/>
      <c r="HM5" s="2629"/>
      <c r="HN5" s="2629"/>
      <c r="HO5" s="2629"/>
      <c r="HP5" s="2629"/>
      <c r="HQ5" s="2629"/>
      <c r="HR5" s="2629"/>
      <c r="HS5" s="2629"/>
      <c r="HT5" s="2629"/>
      <c r="HU5" s="2629"/>
      <c r="HV5" s="2629"/>
      <c r="HW5" s="2629"/>
      <c r="HX5" s="2629"/>
      <c r="HY5" s="2629"/>
      <c r="HZ5" s="2629"/>
      <c r="IA5" s="2629"/>
      <c r="IB5" s="2629"/>
      <c r="IC5" s="2629"/>
      <c r="ID5" s="2629"/>
      <c r="IE5" s="2629"/>
      <c r="IF5" s="2629"/>
      <c r="IG5" s="2629"/>
      <c r="IH5" s="2629"/>
      <c r="II5" s="2629"/>
      <c r="IJ5" s="2629"/>
      <c r="IK5" s="2629"/>
      <c r="IL5" s="2629"/>
      <c r="IM5" s="2629"/>
      <c r="IN5" s="2629"/>
      <c r="IO5" s="2629"/>
      <c r="IP5" s="2629"/>
      <c r="IQ5" s="2629"/>
      <c r="IR5" s="2629"/>
      <c r="IS5" s="2629"/>
      <c r="IT5" s="2629"/>
      <c r="IU5" s="2629"/>
      <c r="IV5" s="2629"/>
    </row>
    <row r="6" spans="1:257" s="2683" customFormat="1">
      <c r="A6" s="2629"/>
      <c r="G6" s="2636" t="s">
        <v>2753</v>
      </c>
      <c r="H6" s="2637">
        <v>3</v>
      </c>
      <c r="I6" s="2638">
        <f ca="1">INDIRECT("g"&amp;$H$1)</f>
        <v>3.85</v>
      </c>
      <c r="J6" s="2638">
        <f ca="1">INDIRECT("g"&amp;$H$1)</f>
        <v>3.85</v>
      </c>
      <c r="K6" s="2629"/>
      <c r="L6" s="2629"/>
      <c r="M6" s="2639">
        <v>3</v>
      </c>
      <c r="N6" s="2640">
        <f ca="1">INDIRECT("s"&amp;$N$1)</f>
        <v>2.75</v>
      </c>
      <c r="O6" s="2629"/>
      <c r="P6" s="2629"/>
      <c r="Q6" s="2629"/>
      <c r="R6" s="2629"/>
      <c r="S6" s="2629"/>
      <c r="T6" s="2629"/>
      <c r="U6" s="2629"/>
      <c r="V6" s="2629"/>
      <c r="W6" s="2629"/>
      <c r="X6" s="2629"/>
      <c r="Y6" s="2629"/>
      <c r="Z6" s="2629"/>
      <c r="AA6" s="2629"/>
      <c r="AB6" s="2629"/>
      <c r="AC6" s="2629"/>
      <c r="AD6" s="2629"/>
      <c r="AE6" s="2629"/>
      <c r="AF6" s="2629"/>
      <c r="AG6" s="2629"/>
      <c r="AH6" s="2629"/>
      <c r="AI6" s="2629"/>
      <c r="AJ6" s="2629"/>
      <c r="AK6" s="2629"/>
      <c r="AL6" s="2629"/>
      <c r="AM6" s="2629"/>
      <c r="AN6" s="2629"/>
      <c r="AO6" s="2629"/>
      <c r="AP6" s="2629"/>
      <c r="AQ6" s="2629"/>
      <c r="AR6" s="2629"/>
      <c r="AS6" s="2629"/>
      <c r="AT6" s="2629"/>
      <c r="AU6" s="2629"/>
      <c r="AV6" s="2629"/>
      <c r="AW6" s="2629"/>
      <c r="AX6" s="2629"/>
      <c r="AY6" s="2629"/>
      <c r="AZ6" s="2629"/>
      <c r="BA6" s="2629"/>
      <c r="BB6" s="2629"/>
      <c r="BC6" s="2629"/>
      <c r="BD6" s="2629"/>
      <c r="BE6" s="2629"/>
      <c r="BF6" s="2629"/>
      <c r="BG6" s="2629"/>
      <c r="BH6" s="2629"/>
      <c r="BI6" s="2629"/>
      <c r="BJ6" s="2629"/>
      <c r="BK6" s="2629"/>
      <c r="BL6" s="2629"/>
      <c r="BM6" s="2629"/>
      <c r="BN6" s="2629"/>
      <c r="BO6" s="2629"/>
      <c r="BP6" s="2629"/>
      <c r="BQ6" s="2629"/>
      <c r="BR6" s="2629"/>
      <c r="BS6" s="2629"/>
      <c r="BT6" s="2629"/>
      <c r="BU6" s="2629"/>
      <c r="BV6" s="2629"/>
      <c r="BW6" s="2629"/>
      <c r="BX6" s="2629"/>
      <c r="BY6" s="2629"/>
      <c r="BZ6" s="2629"/>
      <c r="CA6" s="2629"/>
      <c r="CB6" s="2629"/>
      <c r="CC6" s="2629"/>
      <c r="CD6" s="2629"/>
      <c r="CE6" s="2629"/>
      <c r="CF6" s="2629"/>
      <c r="CG6" s="2629"/>
      <c r="CH6" s="2629"/>
      <c r="CI6" s="2629"/>
      <c r="CJ6" s="2629"/>
      <c r="CK6" s="2629"/>
      <c r="CL6" s="2629"/>
      <c r="CM6" s="2629"/>
      <c r="CN6" s="2629"/>
      <c r="CO6" s="2629"/>
      <c r="CP6" s="2629"/>
      <c r="CQ6" s="2629"/>
      <c r="CR6" s="2629"/>
      <c r="CS6" s="2629"/>
      <c r="CT6" s="2629"/>
      <c r="CU6" s="2629"/>
      <c r="CV6" s="2629"/>
      <c r="CW6" s="2629"/>
      <c r="CX6" s="2629"/>
      <c r="CY6" s="2629"/>
      <c r="CZ6" s="2629"/>
      <c r="DA6" s="2629"/>
      <c r="DB6" s="2629"/>
      <c r="DC6" s="2629"/>
      <c r="DD6" s="2629"/>
      <c r="DE6" s="2629"/>
      <c r="DF6" s="2629"/>
      <c r="DG6" s="2629"/>
      <c r="DH6" s="2629"/>
      <c r="DI6" s="2629"/>
      <c r="DJ6" s="2629"/>
      <c r="DK6" s="2629"/>
      <c r="DL6" s="2629"/>
      <c r="DM6" s="2629"/>
      <c r="DN6" s="2629"/>
      <c r="DO6" s="2629"/>
      <c r="DP6" s="2629"/>
      <c r="DQ6" s="2629"/>
      <c r="DR6" s="2629"/>
      <c r="DS6" s="2629"/>
      <c r="DT6" s="2629"/>
      <c r="DU6" s="2629"/>
      <c r="DV6" s="2629"/>
      <c r="DW6" s="2629"/>
      <c r="DX6" s="2629"/>
      <c r="DY6" s="2629"/>
      <c r="DZ6" s="2629"/>
      <c r="EA6" s="2629"/>
      <c r="EB6" s="2629"/>
      <c r="EC6" s="2629"/>
      <c r="ED6" s="2629"/>
      <c r="EE6" s="2629"/>
      <c r="EF6" s="2629"/>
      <c r="EG6" s="2629"/>
      <c r="EH6" s="2629"/>
      <c r="EI6" s="2629"/>
      <c r="EJ6" s="2629"/>
      <c r="EK6" s="2629"/>
      <c r="EL6" s="2629"/>
      <c r="EM6" s="2629"/>
      <c r="EN6" s="2629"/>
      <c r="EO6" s="2629"/>
      <c r="EP6" s="2629"/>
      <c r="EQ6" s="2629"/>
      <c r="ER6" s="2629"/>
      <c r="ES6" s="2629"/>
      <c r="ET6" s="2629"/>
      <c r="EU6" s="2629"/>
      <c r="EV6" s="2629"/>
      <c r="EW6" s="2629"/>
      <c r="EX6" s="2629"/>
      <c r="EY6" s="2629"/>
      <c r="EZ6" s="2629"/>
      <c r="FA6" s="2629"/>
      <c r="FB6" s="2629"/>
      <c r="FC6" s="2629"/>
      <c r="FD6" s="2629"/>
      <c r="FE6" s="2629"/>
      <c r="FF6" s="2629"/>
      <c r="FG6" s="2629"/>
      <c r="FH6" s="2629"/>
      <c r="FI6" s="2629"/>
      <c r="FJ6" s="2629"/>
      <c r="FK6" s="2629"/>
      <c r="FL6" s="2629"/>
      <c r="FM6" s="2629"/>
      <c r="FN6" s="2629"/>
      <c r="FO6" s="2629"/>
      <c r="FP6" s="2629"/>
      <c r="FQ6" s="2629"/>
      <c r="FR6" s="2629"/>
      <c r="FS6" s="2629"/>
      <c r="FT6" s="2629"/>
      <c r="FU6" s="2629"/>
      <c r="FV6" s="2629"/>
      <c r="FW6" s="2629"/>
      <c r="FX6" s="2629"/>
      <c r="FY6" s="2629"/>
      <c r="FZ6" s="2629"/>
      <c r="GA6" s="2629"/>
      <c r="GB6" s="2629"/>
      <c r="GC6" s="2629"/>
      <c r="GD6" s="2629"/>
      <c r="GE6" s="2629"/>
      <c r="GF6" s="2629"/>
      <c r="GG6" s="2629"/>
      <c r="GH6" s="2629"/>
      <c r="GI6" s="2629"/>
      <c r="GJ6" s="2629"/>
      <c r="GK6" s="2629"/>
      <c r="GL6" s="2629"/>
      <c r="GM6" s="2629"/>
      <c r="GN6" s="2629"/>
      <c r="GO6" s="2629"/>
      <c r="GP6" s="2629"/>
      <c r="GQ6" s="2629"/>
      <c r="GR6" s="2629"/>
      <c r="GS6" s="2629"/>
      <c r="GT6" s="2629"/>
      <c r="GU6" s="2629"/>
      <c r="GV6" s="2629"/>
      <c r="GW6" s="2629"/>
      <c r="GX6" s="2629"/>
      <c r="GY6" s="2629"/>
      <c r="GZ6" s="2629"/>
      <c r="HA6" s="2629"/>
      <c r="HB6" s="2629"/>
      <c r="HC6" s="2629"/>
      <c r="HD6" s="2629"/>
      <c r="HE6" s="2629"/>
      <c r="HF6" s="2629"/>
      <c r="HG6" s="2629"/>
      <c r="HH6" s="2629"/>
      <c r="HI6" s="2629"/>
      <c r="HJ6" s="2629"/>
      <c r="HK6" s="2629"/>
      <c r="HL6" s="2629"/>
      <c r="HM6" s="2629"/>
      <c r="HN6" s="2629"/>
      <c r="HO6" s="2629"/>
      <c r="HP6" s="2629"/>
      <c r="HQ6" s="2629"/>
      <c r="HR6" s="2629"/>
      <c r="HS6" s="2629"/>
      <c r="HT6" s="2629"/>
      <c r="HU6" s="2629"/>
      <c r="HV6" s="2629"/>
      <c r="HW6" s="2629"/>
      <c r="HX6" s="2629"/>
      <c r="HY6" s="2629"/>
      <c r="HZ6" s="2629"/>
      <c r="IA6" s="2629"/>
      <c r="IB6" s="2629"/>
      <c r="IC6" s="2629"/>
      <c r="ID6" s="2629"/>
      <c r="IE6" s="2629"/>
      <c r="IF6" s="2629"/>
      <c r="IG6" s="2629"/>
      <c r="IH6" s="2629"/>
      <c r="II6" s="2629"/>
      <c r="IJ6" s="2629"/>
      <c r="IK6" s="2629"/>
      <c r="IL6" s="2629"/>
      <c r="IM6" s="2629"/>
      <c r="IN6" s="2629"/>
      <c r="IO6" s="2629"/>
      <c r="IP6" s="2629"/>
      <c r="IQ6" s="2629"/>
      <c r="IR6" s="2629"/>
      <c r="IS6" s="2629"/>
      <c r="IT6" s="2629"/>
      <c r="IU6" s="2629"/>
      <c r="IV6" s="2629"/>
    </row>
    <row r="7" spans="1:257" s="2683" customFormat="1" ht="14.25" thickBot="1">
      <c r="A7" s="2629"/>
      <c r="G7" s="2641" t="s">
        <v>2754</v>
      </c>
      <c r="H7" s="2642">
        <v>5</v>
      </c>
      <c r="I7" s="2643">
        <f ca="1">INDIRECT("h"&amp;$H$1)</f>
        <v>4.6500000000000004</v>
      </c>
      <c r="J7" s="2643">
        <f ca="1">INDIRECT("h"&amp;$H$1)</f>
        <v>4.6500000000000004</v>
      </c>
      <c r="K7" s="2629"/>
      <c r="L7" s="2629"/>
      <c r="M7" s="2644">
        <v>5</v>
      </c>
      <c r="N7" s="2645">
        <f ca="1">INDIRECT("t"&amp;$N$1)</f>
        <v>0</v>
      </c>
      <c r="O7" s="2629"/>
      <c r="P7" s="2629"/>
      <c r="Q7" s="2629"/>
      <c r="R7" s="2629"/>
      <c r="S7" s="2629"/>
      <c r="T7" s="2629"/>
      <c r="U7" s="2629"/>
      <c r="V7" s="2629"/>
      <c r="W7" s="2629"/>
      <c r="X7" s="2629"/>
      <c r="Y7" s="2629"/>
      <c r="Z7" s="2629"/>
      <c r="AA7" s="2629"/>
      <c r="AB7" s="2629"/>
      <c r="AC7" s="2629"/>
      <c r="AD7" s="2629"/>
      <c r="AE7" s="2629"/>
      <c r="AF7" s="2629"/>
      <c r="AG7" s="2629"/>
      <c r="AH7" s="2629"/>
      <c r="AI7" s="2629"/>
      <c r="AJ7" s="2629"/>
      <c r="AK7" s="2629"/>
      <c r="AL7" s="2629"/>
      <c r="AM7" s="2629"/>
      <c r="AN7" s="2629"/>
      <c r="AO7" s="2629"/>
      <c r="AP7" s="2629"/>
      <c r="AQ7" s="2629"/>
      <c r="AR7" s="2629"/>
      <c r="AS7" s="2629"/>
      <c r="AT7" s="2629"/>
      <c r="AU7" s="2629"/>
      <c r="AV7" s="2629"/>
      <c r="AW7" s="2629"/>
      <c r="AX7" s="2629"/>
      <c r="AY7" s="2629"/>
      <c r="AZ7" s="2629"/>
      <c r="BA7" s="2629"/>
      <c r="BB7" s="2629"/>
      <c r="BC7" s="2629"/>
      <c r="BD7" s="2629"/>
      <c r="BE7" s="2629"/>
      <c r="BF7" s="2629"/>
      <c r="BG7" s="2629"/>
      <c r="BH7" s="2629"/>
      <c r="BI7" s="2629"/>
      <c r="BJ7" s="2629"/>
      <c r="BK7" s="2629"/>
      <c r="BL7" s="2629"/>
      <c r="BM7" s="2629"/>
      <c r="BN7" s="2629"/>
      <c r="BO7" s="2629"/>
      <c r="BP7" s="2629"/>
      <c r="BQ7" s="2629"/>
      <c r="BR7" s="2629"/>
      <c r="BS7" s="2629"/>
      <c r="BT7" s="2629"/>
      <c r="BU7" s="2629"/>
      <c r="BV7" s="2629"/>
      <c r="BW7" s="2629"/>
      <c r="BX7" s="2629"/>
      <c r="BY7" s="2629"/>
      <c r="BZ7" s="2629"/>
      <c r="CA7" s="2629"/>
      <c r="CB7" s="2629"/>
      <c r="CC7" s="2629"/>
      <c r="CD7" s="2629"/>
      <c r="CE7" s="2629"/>
      <c r="CF7" s="2629"/>
      <c r="CG7" s="2629"/>
      <c r="CH7" s="2629"/>
      <c r="CI7" s="2629"/>
      <c r="CJ7" s="2629"/>
      <c r="CK7" s="2629"/>
      <c r="CL7" s="2629"/>
      <c r="CM7" s="2629"/>
      <c r="CN7" s="2629"/>
      <c r="CO7" s="2629"/>
      <c r="CP7" s="2629"/>
      <c r="CQ7" s="2629"/>
      <c r="CR7" s="2629"/>
      <c r="CS7" s="2629"/>
      <c r="CT7" s="2629"/>
      <c r="CU7" s="2629"/>
      <c r="CV7" s="2629"/>
      <c r="CW7" s="2629"/>
      <c r="CX7" s="2629"/>
      <c r="CY7" s="2629"/>
      <c r="CZ7" s="2629"/>
      <c r="DA7" s="2629"/>
      <c r="DB7" s="2629"/>
      <c r="DC7" s="2629"/>
      <c r="DD7" s="2629"/>
      <c r="DE7" s="2629"/>
      <c r="DF7" s="2629"/>
      <c r="DG7" s="2629"/>
      <c r="DH7" s="2629"/>
      <c r="DI7" s="2629"/>
      <c r="DJ7" s="2629"/>
      <c r="DK7" s="2629"/>
      <c r="DL7" s="2629"/>
      <c r="DM7" s="2629"/>
      <c r="DN7" s="2629"/>
      <c r="DO7" s="2629"/>
      <c r="DP7" s="2629"/>
      <c r="DQ7" s="2629"/>
      <c r="DR7" s="2629"/>
      <c r="DS7" s="2629"/>
      <c r="DT7" s="2629"/>
      <c r="DU7" s="2629"/>
      <c r="DV7" s="2629"/>
      <c r="DW7" s="2629"/>
      <c r="DX7" s="2629"/>
      <c r="DY7" s="2629"/>
      <c r="DZ7" s="2629"/>
      <c r="EA7" s="2629"/>
      <c r="EB7" s="2629"/>
      <c r="EC7" s="2629"/>
      <c r="ED7" s="2629"/>
      <c r="EE7" s="2629"/>
      <c r="EF7" s="2629"/>
      <c r="EG7" s="2629"/>
      <c r="EH7" s="2629"/>
      <c r="EI7" s="2629"/>
      <c r="EJ7" s="2629"/>
      <c r="EK7" s="2629"/>
      <c r="EL7" s="2629"/>
      <c r="EM7" s="2629"/>
      <c r="EN7" s="2629"/>
      <c r="EO7" s="2629"/>
      <c r="EP7" s="2629"/>
      <c r="EQ7" s="2629"/>
      <c r="ER7" s="2629"/>
      <c r="ES7" s="2629"/>
      <c r="ET7" s="2629"/>
      <c r="EU7" s="2629"/>
      <c r="EV7" s="2629"/>
      <c r="EW7" s="2629"/>
      <c r="EX7" s="2629"/>
      <c r="EY7" s="2629"/>
      <c r="EZ7" s="2629"/>
      <c r="FA7" s="2629"/>
      <c r="FB7" s="2629"/>
      <c r="FC7" s="2629"/>
      <c r="FD7" s="2629"/>
      <c r="FE7" s="2629"/>
      <c r="FF7" s="2629"/>
      <c r="FG7" s="2629"/>
      <c r="FH7" s="2629"/>
      <c r="FI7" s="2629"/>
      <c r="FJ7" s="2629"/>
      <c r="FK7" s="2629"/>
      <c r="FL7" s="2629"/>
      <c r="FM7" s="2629"/>
      <c r="FN7" s="2629"/>
      <c r="FO7" s="2629"/>
      <c r="FP7" s="2629"/>
      <c r="FQ7" s="2629"/>
      <c r="FR7" s="2629"/>
      <c r="FS7" s="2629"/>
      <c r="FT7" s="2629"/>
      <c r="FU7" s="2629"/>
      <c r="FV7" s="2629"/>
      <c r="FW7" s="2629"/>
      <c r="FX7" s="2629"/>
      <c r="FY7" s="2629"/>
      <c r="FZ7" s="2629"/>
      <c r="GA7" s="2629"/>
      <c r="GB7" s="2629"/>
      <c r="GC7" s="2629"/>
      <c r="GD7" s="2629"/>
      <c r="GE7" s="2629"/>
      <c r="GF7" s="2629"/>
      <c r="GG7" s="2629"/>
      <c r="GH7" s="2629"/>
      <c r="GI7" s="2629"/>
      <c r="GJ7" s="2629"/>
      <c r="GK7" s="2629"/>
      <c r="GL7" s="2629"/>
      <c r="GM7" s="2629"/>
      <c r="GN7" s="2629"/>
      <c r="GO7" s="2629"/>
      <c r="GP7" s="2629"/>
      <c r="GQ7" s="2629"/>
      <c r="GR7" s="2629"/>
      <c r="GS7" s="2629"/>
      <c r="GT7" s="2629"/>
      <c r="GU7" s="2629"/>
      <c r="GV7" s="2629"/>
      <c r="GW7" s="2629"/>
      <c r="GX7" s="2629"/>
      <c r="GY7" s="2629"/>
      <c r="GZ7" s="2629"/>
      <c r="HA7" s="2629"/>
      <c r="HB7" s="2629"/>
      <c r="HC7" s="2629"/>
      <c r="HD7" s="2629"/>
      <c r="HE7" s="2629"/>
      <c r="HF7" s="2629"/>
      <c r="HG7" s="2629"/>
      <c r="HH7" s="2629"/>
      <c r="HI7" s="2629"/>
      <c r="HJ7" s="2629"/>
      <c r="HK7" s="2629"/>
      <c r="HL7" s="2629"/>
      <c r="HM7" s="2629"/>
      <c r="HN7" s="2629"/>
      <c r="HO7" s="2629"/>
      <c r="HP7" s="2629"/>
      <c r="HQ7" s="2629"/>
      <c r="HR7" s="2629"/>
      <c r="HS7" s="2629"/>
      <c r="HT7" s="2629"/>
      <c r="HU7" s="2629"/>
      <c r="HV7" s="2629"/>
      <c r="HW7" s="2629"/>
      <c r="HX7" s="2629"/>
      <c r="HY7" s="2629"/>
      <c r="HZ7" s="2629"/>
      <c r="IA7" s="2629"/>
      <c r="IB7" s="2629"/>
      <c r="IC7" s="2629"/>
      <c r="ID7" s="2629"/>
      <c r="IE7" s="2629"/>
      <c r="IF7" s="2629"/>
      <c r="IG7" s="2629"/>
      <c r="IH7" s="2629"/>
      <c r="II7" s="2629"/>
      <c r="IJ7" s="2629"/>
      <c r="IK7" s="2629"/>
      <c r="IL7" s="2629"/>
      <c r="IM7" s="2629"/>
      <c r="IN7" s="2629"/>
      <c r="IO7" s="2629"/>
      <c r="IP7" s="2629"/>
      <c r="IQ7" s="2629"/>
      <c r="IR7" s="2629"/>
      <c r="IS7" s="2629"/>
      <c r="IT7" s="2629"/>
      <c r="IU7" s="2629"/>
      <c r="IV7" s="2629"/>
    </row>
    <row r="8" spans="1:257">
      <c r="A8" s="2646"/>
      <c r="B8" s="2647"/>
      <c r="C8" s="2648"/>
      <c r="D8" s="2629"/>
      <c r="E8" s="2629"/>
      <c r="F8" s="2629"/>
      <c r="G8" s="2629"/>
      <c r="H8" s="2629"/>
      <c r="I8" s="2629"/>
      <c r="J8" s="2629"/>
      <c r="L8" s="2629"/>
      <c r="M8" s="2629"/>
      <c r="N8" s="2629"/>
      <c r="O8" s="2629"/>
      <c r="P8" s="2629"/>
      <c r="Q8" s="2629"/>
      <c r="R8" s="2629"/>
      <c r="S8" s="2629"/>
      <c r="T8" s="2629"/>
      <c r="U8" s="2629"/>
      <c r="V8" s="2629"/>
      <c r="W8" s="2629"/>
      <c r="X8" s="2629"/>
      <c r="Y8" s="2629"/>
      <c r="Z8" s="2629"/>
    </row>
    <row r="9" spans="1:257" ht="20.25">
      <c r="A9" s="2649"/>
      <c r="B9" s="2650" t="s">
        <v>2755</v>
      </c>
      <c r="C9" s="2651"/>
      <c r="D9" s="2652"/>
      <c r="E9" s="2652"/>
      <c r="F9" s="2652"/>
      <c r="G9" s="2652"/>
      <c r="H9" s="2652"/>
      <c r="I9" s="2652"/>
      <c r="J9" s="2652"/>
      <c r="K9" s="2652"/>
      <c r="L9" s="2652"/>
      <c r="M9" s="2652"/>
      <c r="N9" s="2652"/>
      <c r="O9" s="2652"/>
      <c r="P9" s="2652"/>
      <c r="Q9" s="2652"/>
      <c r="R9" s="2652"/>
      <c r="S9" s="2652"/>
      <c r="T9" s="2652"/>
      <c r="U9" s="2652"/>
      <c r="V9" s="2652"/>
      <c r="W9" s="2652"/>
      <c r="X9" s="2652"/>
      <c r="Y9" s="2652"/>
      <c r="Z9" s="2652"/>
      <c r="AA9" s="2653"/>
      <c r="AB9" s="2653"/>
      <c r="AC9" s="2653"/>
      <c r="AD9" s="2653"/>
      <c r="AE9" s="2653"/>
      <c r="AF9" s="2653"/>
      <c r="AG9" s="2653"/>
      <c r="AH9" s="2653"/>
      <c r="AI9" s="2653"/>
      <c r="AJ9" s="2653"/>
      <c r="AK9" s="2653"/>
      <c r="AL9" s="2653"/>
      <c r="AM9" s="2653"/>
      <c r="AN9" s="2653"/>
      <c r="AO9" s="2653"/>
      <c r="AP9" s="2653"/>
      <c r="AQ9" s="2653"/>
      <c r="AR9" s="2653"/>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c r="BP9" s="2653"/>
      <c r="BQ9" s="2653"/>
      <c r="BR9" s="2653"/>
      <c r="BS9" s="2653"/>
      <c r="BT9" s="2653"/>
      <c r="BU9" s="2653"/>
      <c r="BV9" s="2653"/>
      <c r="BW9" s="2653"/>
      <c r="BX9" s="2653"/>
      <c r="BY9" s="2653"/>
      <c r="BZ9" s="2653"/>
      <c r="CA9" s="2653"/>
      <c r="CB9" s="2653"/>
      <c r="CC9" s="2653"/>
      <c r="CD9" s="2653"/>
      <c r="CE9" s="2653"/>
      <c r="CF9" s="2653"/>
      <c r="CG9" s="2653"/>
      <c r="CH9" s="2653"/>
      <c r="CI9" s="2653"/>
      <c r="CJ9" s="2653"/>
      <c r="CK9" s="2653"/>
      <c r="CL9" s="2653"/>
      <c r="CM9" s="2653"/>
      <c r="CN9" s="2653"/>
      <c r="CO9" s="2653"/>
      <c r="CP9" s="2653"/>
      <c r="CQ9" s="2653"/>
      <c r="CR9" s="2653"/>
      <c r="CS9" s="2653"/>
      <c r="CT9" s="2653"/>
      <c r="CU9" s="2653"/>
      <c r="CV9" s="2653"/>
      <c r="CW9" s="2653"/>
      <c r="CX9" s="2653"/>
      <c r="CY9" s="2653"/>
      <c r="CZ9" s="2653"/>
      <c r="DA9" s="2653"/>
      <c r="DB9" s="2653"/>
      <c r="DC9" s="2653"/>
      <c r="DD9" s="2653"/>
      <c r="DE9" s="2653"/>
      <c r="DF9" s="2653"/>
      <c r="DG9" s="2653"/>
      <c r="DH9" s="2653"/>
      <c r="DI9" s="2653"/>
      <c r="DJ9" s="2653"/>
      <c r="DK9" s="2653"/>
      <c r="DL9" s="2653"/>
      <c r="DM9" s="2653"/>
      <c r="DN9" s="2653"/>
      <c r="DO9" s="2653"/>
      <c r="DP9" s="2653"/>
      <c r="DQ9" s="2653"/>
      <c r="DR9" s="2653"/>
      <c r="DS9" s="2653"/>
      <c r="DT9" s="2653"/>
      <c r="DU9" s="2653"/>
      <c r="DV9" s="2653"/>
      <c r="DW9" s="2653"/>
      <c r="DX9" s="2653"/>
      <c r="DY9" s="2653"/>
      <c r="DZ9" s="2653"/>
      <c r="EA9" s="2653"/>
      <c r="EB9" s="2653"/>
      <c r="EC9" s="2653"/>
      <c r="ED9" s="2653"/>
      <c r="EE9" s="2653"/>
      <c r="EF9" s="2653"/>
      <c r="EG9" s="2653"/>
      <c r="EH9" s="2653"/>
      <c r="EI9" s="2653"/>
      <c r="EJ9" s="2653"/>
      <c r="EK9" s="2653"/>
      <c r="EL9" s="2653"/>
      <c r="EM9" s="2653"/>
      <c r="EN9" s="2653"/>
      <c r="EO9" s="2653"/>
      <c r="EP9" s="2653"/>
      <c r="EQ9" s="2653"/>
      <c r="ER9" s="2653"/>
      <c r="ES9" s="2653"/>
      <c r="ET9" s="2653"/>
      <c r="EU9" s="2653"/>
      <c r="EV9" s="2653"/>
      <c r="EW9" s="2653"/>
      <c r="EX9" s="2653"/>
      <c r="EY9" s="2653"/>
      <c r="EZ9" s="2653"/>
      <c r="FA9" s="2653"/>
      <c r="FB9" s="2653"/>
      <c r="FC9" s="2653"/>
      <c r="FD9" s="2653"/>
      <c r="FE9" s="2653"/>
      <c r="FF9" s="2653"/>
      <c r="FG9" s="2653"/>
      <c r="FH9" s="2653"/>
      <c r="FI9" s="2653"/>
      <c r="FJ9" s="2653"/>
      <c r="FK9" s="2653"/>
      <c r="FL9" s="2653"/>
      <c r="FM9" s="2653"/>
      <c r="FN9" s="2653"/>
      <c r="FO9" s="2653"/>
      <c r="FP9" s="2653"/>
      <c r="FQ9" s="2653"/>
      <c r="FR9" s="2653"/>
      <c r="FS9" s="2653"/>
      <c r="FT9" s="2653"/>
      <c r="FU9" s="2653"/>
      <c r="FV9" s="2653"/>
      <c r="FW9" s="2653"/>
      <c r="FX9" s="2653"/>
      <c r="FY9" s="2653"/>
      <c r="FZ9" s="2653"/>
      <c r="GA9" s="2653"/>
      <c r="GB9" s="2653"/>
      <c r="GC9" s="2653"/>
      <c r="GD9" s="2653"/>
      <c r="GE9" s="2653"/>
      <c r="GF9" s="2653"/>
      <c r="GG9" s="2653"/>
      <c r="GH9" s="2653"/>
      <c r="GI9" s="2653"/>
      <c r="GJ9" s="2653"/>
      <c r="GK9" s="2653"/>
      <c r="GL9" s="2653"/>
      <c r="GM9" s="2653"/>
      <c r="GN9" s="2653"/>
      <c r="GO9" s="2653"/>
      <c r="GP9" s="2653"/>
      <c r="GQ9" s="2653"/>
      <c r="GR9" s="2653"/>
      <c r="GS9" s="2653"/>
      <c r="GT9" s="2653"/>
      <c r="GU9" s="2653"/>
      <c r="GV9" s="2653"/>
      <c r="GW9" s="2653"/>
      <c r="GX9" s="2653"/>
      <c r="GY9" s="2653"/>
      <c r="GZ9" s="2653"/>
      <c r="HA9" s="2653"/>
      <c r="HB9" s="2653"/>
      <c r="HC9" s="2653"/>
      <c r="HD9" s="2653"/>
      <c r="HE9" s="2653"/>
      <c r="HF9" s="2653"/>
      <c r="HG9" s="2653"/>
      <c r="HH9" s="2653"/>
      <c r="HI9" s="2653"/>
      <c r="HJ9" s="2653"/>
      <c r="HK9" s="2653"/>
      <c r="HL9" s="2653"/>
      <c r="HM9" s="2653"/>
      <c r="HN9" s="2653"/>
      <c r="HO9" s="2653"/>
      <c r="HP9" s="2653"/>
      <c r="HQ9" s="2653"/>
      <c r="HR9" s="2653"/>
      <c r="HS9" s="2653"/>
      <c r="HT9" s="2653"/>
      <c r="HU9" s="2653"/>
      <c r="HV9" s="2653"/>
      <c r="HW9" s="2653"/>
      <c r="HX9" s="2653"/>
      <c r="HY9" s="2653"/>
      <c r="HZ9" s="2653"/>
      <c r="IA9" s="2653"/>
      <c r="IB9" s="2653"/>
      <c r="IC9" s="2653"/>
      <c r="ID9" s="2653"/>
      <c r="IE9" s="2653"/>
      <c r="IF9" s="2653"/>
      <c r="IG9" s="2653"/>
      <c r="IH9" s="2653"/>
      <c r="II9" s="2653"/>
      <c r="IJ9" s="2653"/>
      <c r="IK9" s="2653"/>
      <c r="IL9" s="2653"/>
      <c r="IM9" s="2653"/>
      <c r="IN9" s="2653"/>
      <c r="IO9" s="2653"/>
      <c r="IP9" s="2653"/>
      <c r="IQ9" s="2653"/>
      <c r="IR9" s="2653"/>
      <c r="IS9" s="2653"/>
      <c r="IT9" s="2653"/>
      <c r="IU9" s="2653"/>
      <c r="IV9" s="2653"/>
      <c r="IW9" s="2654"/>
    </row>
    <row r="10" spans="1:257" ht="22.5">
      <c r="A10" s="2655"/>
      <c r="B10" s="2656" t="s">
        <v>2756</v>
      </c>
      <c r="C10" s="2655"/>
      <c r="D10" s="2655"/>
      <c r="E10" s="2655"/>
      <c r="F10" s="2655"/>
      <c r="G10" s="2655"/>
      <c r="H10" s="2655"/>
      <c r="I10" s="2629"/>
      <c r="J10" s="2629"/>
      <c r="K10" s="2655"/>
      <c r="L10" s="2656" t="s">
        <v>2757</v>
      </c>
      <c r="M10" s="2655"/>
      <c r="N10" s="2655"/>
      <c r="O10" s="2655"/>
      <c r="P10" s="2655"/>
      <c r="Q10" s="2655"/>
      <c r="R10" s="2655"/>
      <c r="S10" s="2655"/>
      <c r="T10" s="2655"/>
      <c r="U10" s="2655"/>
      <c r="V10" s="2655"/>
      <c r="W10" s="2655"/>
      <c r="X10" s="2655"/>
      <c r="Y10" s="2655"/>
      <c r="Z10" s="2655"/>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7"/>
      <c r="FW10" s="2657"/>
      <c r="FX10" s="2657"/>
      <c r="FY10" s="2657"/>
      <c r="FZ10" s="2657"/>
      <c r="GA10" s="2657"/>
      <c r="GB10" s="2657"/>
      <c r="GC10" s="2657"/>
      <c r="GD10" s="2657"/>
      <c r="GE10" s="2657"/>
      <c r="GF10" s="2657"/>
      <c r="GG10" s="2657"/>
      <c r="GH10" s="2657"/>
      <c r="GI10" s="2657"/>
      <c r="GJ10" s="2657"/>
      <c r="GK10" s="2657"/>
      <c r="GL10" s="2657"/>
      <c r="GM10" s="2657"/>
      <c r="GN10" s="2657"/>
      <c r="GO10" s="2657"/>
      <c r="GP10" s="2657"/>
      <c r="GQ10" s="2657"/>
      <c r="GR10" s="2657"/>
      <c r="GS10" s="2657"/>
      <c r="GT10" s="2657"/>
      <c r="GU10" s="2657"/>
      <c r="GV10" s="2657"/>
      <c r="GW10" s="2657"/>
      <c r="GX10" s="2657"/>
      <c r="GY10" s="2657"/>
      <c r="GZ10" s="2657"/>
      <c r="HA10" s="2657"/>
      <c r="HB10" s="2657"/>
      <c r="HC10" s="2657"/>
      <c r="HD10" s="2657"/>
      <c r="HE10" s="2657"/>
      <c r="HF10" s="2657"/>
      <c r="HG10" s="2657"/>
      <c r="HH10" s="2657"/>
      <c r="HI10" s="2657"/>
      <c r="HJ10" s="2657"/>
      <c r="HK10" s="2657"/>
      <c r="HL10" s="2657"/>
      <c r="HM10" s="2657"/>
      <c r="HN10" s="2657"/>
      <c r="HO10" s="2657"/>
      <c r="HP10" s="2657"/>
      <c r="HQ10" s="2657"/>
      <c r="HR10" s="2657"/>
      <c r="HS10" s="2657"/>
      <c r="HT10" s="2657"/>
      <c r="HU10" s="2657"/>
      <c r="HV10" s="2657"/>
      <c r="HW10" s="2657"/>
      <c r="HX10" s="2657"/>
      <c r="HY10" s="2657"/>
      <c r="HZ10" s="2657"/>
      <c r="IA10" s="2657"/>
      <c r="IB10" s="2657"/>
      <c r="IC10" s="2657"/>
      <c r="ID10" s="2657"/>
      <c r="IE10" s="2657"/>
      <c r="IF10" s="2657"/>
      <c r="IG10" s="2657"/>
      <c r="IH10" s="2657"/>
      <c r="II10" s="2657"/>
      <c r="IJ10" s="2657"/>
      <c r="IK10" s="2657"/>
      <c r="IL10" s="2657"/>
      <c r="IM10" s="2657"/>
      <c r="IN10" s="2657"/>
      <c r="IO10" s="2657"/>
      <c r="IP10" s="2657"/>
      <c r="IQ10" s="2657"/>
      <c r="IR10" s="2657"/>
      <c r="IS10" s="2657"/>
      <c r="IT10" s="2657"/>
      <c r="IU10" s="2657"/>
      <c r="IV10" s="2657"/>
    </row>
    <row r="11" spans="1:257">
      <c r="A11" s="2658"/>
      <c r="B11" s="2659" t="s">
        <v>2758</v>
      </c>
      <c r="C11" s="2660" t="s">
        <v>2759</v>
      </c>
      <c r="D11" s="2661" t="s">
        <v>2760</v>
      </c>
      <c r="E11" s="2662"/>
      <c r="F11" s="2661" t="s">
        <v>2761</v>
      </c>
      <c r="G11" s="2663"/>
      <c r="H11" s="2662"/>
      <c r="I11" s="2661" t="s">
        <v>2762</v>
      </c>
      <c r="J11" s="2662"/>
      <c r="K11" s="2658"/>
      <c r="L11" s="2659" t="s">
        <v>2758</v>
      </c>
      <c r="M11" s="2660" t="s">
        <v>2759</v>
      </c>
      <c r="N11" s="2659" t="s">
        <v>2763</v>
      </c>
      <c r="O11" s="2661" t="s">
        <v>2764</v>
      </c>
      <c r="P11" s="2663"/>
      <c r="Q11" s="2663"/>
      <c r="R11" s="2663"/>
      <c r="S11" s="2663"/>
      <c r="T11" s="2662"/>
      <c r="U11" s="2661" t="s">
        <v>2765</v>
      </c>
      <c r="V11" s="2663"/>
      <c r="W11" s="2662"/>
      <c r="X11" s="2659" t="s">
        <v>2766</v>
      </c>
      <c r="Y11" s="2659" t="s">
        <v>2767</v>
      </c>
      <c r="Z11" s="2659" t="s">
        <v>2768</v>
      </c>
      <c r="AA11" s="2664"/>
      <c r="AB11" s="2664"/>
      <c r="AC11" s="2664"/>
      <c r="AD11" s="2664"/>
      <c r="AE11" s="2664"/>
      <c r="AF11" s="2664"/>
      <c r="AG11" s="2664"/>
      <c r="AH11" s="2664"/>
      <c r="AI11" s="2664"/>
      <c r="AJ11" s="2664"/>
      <c r="AK11" s="2664"/>
      <c r="AL11" s="2664"/>
      <c r="AM11" s="2664"/>
      <c r="AN11" s="2664"/>
      <c r="AO11" s="2664"/>
      <c r="AP11" s="2664"/>
      <c r="AQ11" s="2664"/>
      <c r="AR11" s="2664"/>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c r="BP11" s="2664"/>
      <c r="BQ11" s="2664"/>
      <c r="BR11" s="2664"/>
      <c r="BS11" s="2664"/>
      <c r="BT11" s="2664"/>
      <c r="BU11" s="2664"/>
      <c r="BV11" s="2664"/>
      <c r="BW11" s="2664"/>
      <c r="BX11" s="2664"/>
      <c r="BY11" s="2664"/>
      <c r="BZ11" s="2664"/>
      <c r="CA11" s="2664"/>
      <c r="CB11" s="2664"/>
      <c r="CC11" s="2664"/>
      <c r="CD11" s="2664"/>
      <c r="CE11" s="2664"/>
      <c r="CF11" s="2664"/>
      <c r="CG11" s="2664"/>
      <c r="CH11" s="2664"/>
      <c r="CI11" s="2664"/>
      <c r="CJ11" s="2664"/>
      <c r="CK11" s="2664"/>
      <c r="CL11" s="2664"/>
      <c r="CM11" s="2664"/>
      <c r="CN11" s="2664"/>
      <c r="CO11" s="2664"/>
      <c r="CP11" s="2664"/>
      <c r="CQ11" s="2664"/>
      <c r="CR11" s="2664"/>
      <c r="CS11" s="2664"/>
      <c r="CT11" s="2664"/>
      <c r="CU11" s="2664"/>
      <c r="CV11" s="2664"/>
      <c r="CW11" s="2664"/>
      <c r="CX11" s="2664"/>
      <c r="CY11" s="2664"/>
      <c r="CZ11" s="2664"/>
      <c r="DA11" s="2664"/>
      <c r="DB11" s="2664"/>
      <c r="DC11" s="2664"/>
      <c r="DD11" s="2664"/>
      <c r="DE11" s="2664"/>
      <c r="DF11" s="2664"/>
      <c r="DG11" s="2664"/>
      <c r="DH11" s="2664"/>
      <c r="DI11" s="2664"/>
      <c r="DJ11" s="2664"/>
      <c r="DK11" s="2664"/>
      <c r="DL11" s="2664"/>
      <c r="DM11" s="2664"/>
      <c r="DN11" s="2664"/>
      <c r="DO11" s="2664"/>
      <c r="DP11" s="2664"/>
      <c r="DQ11" s="2664"/>
      <c r="DR11" s="2664"/>
      <c r="DS11" s="2664"/>
      <c r="DT11" s="2664"/>
      <c r="DU11" s="2664"/>
      <c r="DV11" s="2664"/>
      <c r="DW11" s="2664"/>
      <c r="DX11" s="2664"/>
      <c r="DY11" s="2664"/>
      <c r="DZ11" s="2664"/>
      <c r="EA11" s="2664"/>
      <c r="EB11" s="2664"/>
      <c r="EC11" s="2664"/>
      <c r="ED11" s="2664"/>
      <c r="EE11" s="2664"/>
      <c r="EF11" s="2664"/>
      <c r="EG11" s="2664"/>
      <c r="EH11" s="2664"/>
      <c r="EI11" s="2664"/>
      <c r="EJ11" s="2664"/>
      <c r="EK11" s="2664"/>
      <c r="EL11" s="2664"/>
      <c r="EM11" s="2664"/>
      <c r="EN11" s="2664"/>
      <c r="EO11" s="2664"/>
      <c r="EP11" s="2664"/>
      <c r="EQ11" s="2664"/>
      <c r="ER11" s="2664"/>
      <c r="ES11" s="2664"/>
      <c r="ET11" s="2664"/>
      <c r="EU11" s="2664"/>
      <c r="EV11" s="2664"/>
      <c r="EW11" s="2664"/>
      <c r="EX11" s="2664"/>
      <c r="EY11" s="2664"/>
      <c r="EZ11" s="2664"/>
      <c r="FA11" s="2664"/>
      <c r="FB11" s="2664"/>
      <c r="FC11" s="2664"/>
      <c r="FD11" s="2664"/>
      <c r="FE11" s="2664"/>
      <c r="FF11" s="2664"/>
      <c r="FG11" s="2664"/>
      <c r="FH11" s="2664"/>
      <c r="FI11" s="2664"/>
      <c r="FJ11" s="2664"/>
      <c r="FK11" s="2664"/>
      <c r="FL11" s="2664"/>
      <c r="FM11" s="2664"/>
      <c r="FN11" s="2664"/>
      <c r="FO11" s="2664"/>
      <c r="FP11" s="2664"/>
      <c r="FQ11" s="2664"/>
      <c r="FR11" s="2664"/>
      <c r="FS11" s="2664"/>
      <c r="FT11" s="2664"/>
      <c r="FU11" s="2664"/>
      <c r="FV11" s="2664"/>
      <c r="FW11" s="2664"/>
      <c r="FX11" s="2664"/>
      <c r="FY11" s="2664"/>
      <c r="FZ11" s="2664"/>
      <c r="GA11" s="2664"/>
      <c r="GB11" s="2664"/>
      <c r="GC11" s="2664"/>
      <c r="GD11" s="2664"/>
      <c r="GE11" s="2664"/>
      <c r="GF11" s="2664"/>
      <c r="GG11" s="2664"/>
      <c r="GH11" s="2664"/>
      <c r="GI11" s="2664"/>
      <c r="GJ11" s="2664"/>
      <c r="GK11" s="2664"/>
      <c r="GL11" s="2664"/>
      <c r="GM11" s="2664"/>
      <c r="GN11" s="2664"/>
      <c r="GO11" s="2664"/>
      <c r="GP11" s="2664"/>
      <c r="GQ11" s="2664"/>
      <c r="GR11" s="2664"/>
      <c r="GS11" s="2664"/>
      <c r="GT11" s="2664"/>
      <c r="GU11" s="2664"/>
      <c r="GV11" s="2664"/>
      <c r="GW11" s="2664"/>
      <c r="GX11" s="2664"/>
      <c r="GY11" s="2664"/>
      <c r="GZ11" s="2664"/>
      <c r="HA11" s="2664"/>
      <c r="HB11" s="2664"/>
      <c r="HC11" s="2664"/>
      <c r="HD11" s="2664"/>
      <c r="HE11" s="2664"/>
      <c r="HF11" s="2664"/>
      <c r="HG11" s="2664"/>
      <c r="HH11" s="2664"/>
      <c r="HI11" s="2664"/>
      <c r="HJ11" s="2664"/>
      <c r="HK11" s="2664"/>
      <c r="HL11" s="2664"/>
      <c r="HM11" s="2664"/>
      <c r="HN11" s="2664"/>
      <c r="HO11" s="2664"/>
      <c r="HP11" s="2664"/>
      <c r="HQ11" s="2664"/>
      <c r="HR11" s="2664"/>
      <c r="HS11" s="2664"/>
      <c r="HT11" s="2664"/>
      <c r="HU11" s="2664"/>
      <c r="HV11" s="2664"/>
      <c r="HW11" s="2664"/>
      <c r="HX11" s="2664"/>
      <c r="HY11" s="2664"/>
      <c r="HZ11" s="2664"/>
      <c r="IA11" s="2664"/>
      <c r="IB11" s="2664"/>
      <c r="IC11" s="2664"/>
      <c r="ID11" s="2664"/>
      <c r="IE11" s="2664"/>
      <c r="IF11" s="2664"/>
      <c r="IG11" s="2664"/>
      <c r="IH11" s="2664"/>
      <c r="II11" s="2664"/>
      <c r="IJ11" s="2664"/>
      <c r="IK11" s="2664"/>
      <c r="IL11" s="2664"/>
      <c r="IM11" s="2664"/>
      <c r="IN11" s="2664"/>
      <c r="IO11" s="2664"/>
      <c r="IP11" s="2664"/>
      <c r="IQ11" s="2664"/>
      <c r="IR11" s="2664"/>
      <c r="IS11" s="2664"/>
      <c r="IT11" s="2664"/>
      <c r="IU11" s="2664"/>
      <c r="IV11" s="2664"/>
    </row>
    <row r="12" spans="1:257">
      <c r="A12" s="2665"/>
      <c r="B12" s="2666"/>
      <c r="C12" s="2667"/>
      <c r="D12" s="2668" t="s">
        <v>2769</v>
      </c>
      <c r="E12" s="2668" t="s">
        <v>2770</v>
      </c>
      <c r="F12" s="2668" t="s">
        <v>2771</v>
      </c>
      <c r="G12" s="2668" t="s">
        <v>2772</v>
      </c>
      <c r="H12" s="2668" t="s">
        <v>2754</v>
      </c>
      <c r="I12" s="2669" t="s">
        <v>2773</v>
      </c>
      <c r="J12" s="2669" t="s">
        <v>2773</v>
      </c>
      <c r="K12" s="2665"/>
      <c r="L12" s="2666"/>
      <c r="M12" s="2667"/>
      <c r="N12" s="2666"/>
      <c r="O12" s="2669" t="s">
        <v>2774</v>
      </c>
      <c r="P12" s="2669">
        <v>0.5</v>
      </c>
      <c r="Q12" s="2669">
        <v>1</v>
      </c>
      <c r="R12" s="2669">
        <v>2</v>
      </c>
      <c r="S12" s="2669">
        <v>3</v>
      </c>
      <c r="T12" s="2669">
        <v>5</v>
      </c>
      <c r="U12" s="2669">
        <v>1</v>
      </c>
      <c r="V12" s="2669">
        <v>3</v>
      </c>
      <c r="W12" s="2669">
        <v>5</v>
      </c>
      <c r="X12" s="2666"/>
      <c r="Y12" s="2666"/>
      <c r="Z12" s="2666"/>
      <c r="AA12" s="2670"/>
      <c r="AB12" s="2670"/>
      <c r="AC12" s="2670"/>
      <c r="AD12" s="2670"/>
      <c r="AE12" s="2670"/>
      <c r="AF12" s="2670"/>
      <c r="AG12" s="2670"/>
      <c r="AH12" s="2670"/>
      <c r="AI12" s="2670"/>
      <c r="AJ12" s="2670"/>
      <c r="AK12" s="2670"/>
      <c r="AL12" s="2670"/>
      <c r="AM12" s="2670"/>
      <c r="AN12" s="2670"/>
      <c r="AO12" s="2670"/>
      <c r="AP12" s="2670"/>
      <c r="AQ12" s="2670"/>
      <c r="AR12" s="2670"/>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c r="BP12" s="2670"/>
      <c r="BQ12" s="2670"/>
      <c r="BR12" s="2670"/>
      <c r="BS12" s="2670"/>
      <c r="BT12" s="2670"/>
      <c r="BU12" s="2670"/>
      <c r="BV12" s="2670"/>
      <c r="BW12" s="2670"/>
      <c r="BX12" s="2670"/>
      <c r="BY12" s="2670"/>
      <c r="BZ12" s="2670"/>
      <c r="CA12" s="2670"/>
      <c r="CB12" s="2670"/>
      <c r="CC12" s="2670"/>
      <c r="CD12" s="2670"/>
      <c r="CE12" s="2670"/>
      <c r="CF12" s="2670"/>
      <c r="CG12" s="2670"/>
      <c r="CH12" s="2670"/>
      <c r="CI12" s="2670"/>
      <c r="CJ12" s="2670"/>
      <c r="CK12" s="2670"/>
      <c r="CL12" s="2670"/>
      <c r="CM12" s="2670"/>
      <c r="CN12" s="2670"/>
      <c r="CO12" s="2670"/>
      <c r="CP12" s="2670"/>
      <c r="CQ12" s="2670"/>
      <c r="CR12" s="2670"/>
      <c r="CS12" s="2670"/>
      <c r="CT12" s="2670"/>
      <c r="CU12" s="2670"/>
      <c r="CV12" s="2670"/>
      <c r="CW12" s="2670"/>
      <c r="CX12" s="2670"/>
      <c r="CY12" s="2670"/>
      <c r="CZ12" s="2670"/>
      <c r="DA12" s="2670"/>
      <c r="DB12" s="2670"/>
      <c r="DC12" s="2670"/>
      <c r="DD12" s="2670"/>
      <c r="DE12" s="2670"/>
      <c r="DF12" s="2670"/>
      <c r="DG12" s="2670"/>
      <c r="DH12" s="2670"/>
      <c r="DI12" s="2670"/>
      <c r="DJ12" s="2670"/>
      <c r="DK12" s="2670"/>
      <c r="DL12" s="2670"/>
      <c r="DM12" s="2670"/>
      <c r="DN12" s="2670"/>
      <c r="DO12" s="2670"/>
      <c r="DP12" s="2670"/>
      <c r="DQ12" s="2670"/>
      <c r="DR12" s="2670"/>
      <c r="DS12" s="2670"/>
      <c r="DT12" s="2670"/>
      <c r="DU12" s="2670"/>
      <c r="DV12" s="2670"/>
      <c r="DW12" s="2670"/>
      <c r="DX12" s="2670"/>
      <c r="DY12" s="2670"/>
      <c r="DZ12" s="2670"/>
      <c r="EA12" s="2670"/>
      <c r="EB12" s="2670"/>
      <c r="EC12" s="2670"/>
      <c r="ED12" s="2670"/>
      <c r="EE12" s="2670"/>
      <c r="EF12" s="2670"/>
      <c r="EG12" s="2670"/>
      <c r="EH12" s="2670"/>
      <c r="EI12" s="2670"/>
      <c r="EJ12" s="2670"/>
      <c r="EK12" s="2670"/>
      <c r="EL12" s="2670"/>
      <c r="EM12" s="2670"/>
      <c r="EN12" s="2670"/>
      <c r="EO12" s="2670"/>
      <c r="EP12" s="2670"/>
      <c r="EQ12" s="2670"/>
      <c r="ER12" s="2670"/>
      <c r="ES12" s="2670"/>
      <c r="ET12" s="2670"/>
      <c r="EU12" s="2670"/>
      <c r="EV12" s="2670"/>
      <c r="EW12" s="2670"/>
      <c r="EX12" s="2670"/>
      <c r="EY12" s="2670"/>
      <c r="EZ12" s="2670"/>
      <c r="FA12" s="2670"/>
      <c r="FB12" s="2670"/>
      <c r="FC12" s="2670"/>
      <c r="FD12" s="2670"/>
      <c r="FE12" s="2670"/>
      <c r="FF12" s="2670"/>
      <c r="FG12" s="2670"/>
      <c r="FH12" s="2670"/>
      <c r="FI12" s="2670"/>
      <c r="FJ12" s="2670"/>
      <c r="FK12" s="2670"/>
      <c r="FL12" s="2670"/>
      <c r="FM12" s="2670"/>
      <c r="FN12" s="2670"/>
      <c r="FO12" s="2670"/>
      <c r="FP12" s="2670"/>
      <c r="FQ12" s="2670"/>
      <c r="FR12" s="2670"/>
      <c r="FS12" s="2670"/>
      <c r="FT12" s="2670"/>
      <c r="FU12" s="2670"/>
      <c r="FV12" s="2670"/>
      <c r="FW12" s="2670"/>
      <c r="FX12" s="2670"/>
      <c r="FY12" s="2670"/>
      <c r="FZ12" s="2670"/>
      <c r="GA12" s="2670"/>
      <c r="GB12" s="2670"/>
      <c r="GC12" s="2670"/>
      <c r="GD12" s="2670"/>
      <c r="GE12" s="2670"/>
      <c r="GF12" s="2670"/>
      <c r="GG12" s="2670"/>
      <c r="GH12" s="2670"/>
      <c r="GI12" s="2670"/>
      <c r="GJ12" s="2670"/>
      <c r="GK12" s="2670"/>
      <c r="GL12" s="2670"/>
      <c r="GM12" s="2670"/>
      <c r="GN12" s="2670"/>
      <c r="GO12" s="2670"/>
      <c r="GP12" s="2670"/>
      <c r="GQ12" s="2670"/>
      <c r="GR12" s="2670"/>
      <c r="GS12" s="2670"/>
      <c r="GT12" s="2670"/>
      <c r="GU12" s="2670"/>
      <c r="GV12" s="2670"/>
      <c r="GW12" s="2670"/>
      <c r="GX12" s="2670"/>
      <c r="GY12" s="2670"/>
      <c r="GZ12" s="2670"/>
      <c r="HA12" s="2670"/>
      <c r="HB12" s="2670"/>
      <c r="HC12" s="2670"/>
      <c r="HD12" s="2670"/>
      <c r="HE12" s="2670"/>
      <c r="HF12" s="2670"/>
      <c r="HG12" s="2670"/>
      <c r="HH12" s="2670"/>
      <c r="HI12" s="2670"/>
      <c r="HJ12" s="2670"/>
      <c r="HK12" s="2670"/>
      <c r="HL12" s="2670"/>
      <c r="HM12" s="2670"/>
      <c r="HN12" s="2670"/>
      <c r="HO12" s="2670"/>
      <c r="HP12" s="2670"/>
      <c r="HQ12" s="2670"/>
      <c r="HR12" s="2670"/>
      <c r="HS12" s="2670"/>
      <c r="HT12" s="2670"/>
      <c r="HU12" s="2670"/>
      <c r="HV12" s="2670"/>
      <c r="HW12" s="2670"/>
      <c r="HX12" s="2670"/>
      <c r="HY12" s="2670"/>
      <c r="HZ12" s="2670"/>
      <c r="IA12" s="2670"/>
      <c r="IB12" s="2670"/>
      <c r="IC12" s="2670"/>
      <c r="ID12" s="2670"/>
      <c r="IE12" s="2670"/>
      <c r="IF12" s="2670"/>
      <c r="IG12" s="2670"/>
      <c r="IH12" s="2670"/>
      <c r="II12" s="2670"/>
      <c r="IJ12" s="2670"/>
      <c r="IK12" s="2670"/>
      <c r="IL12" s="2670"/>
      <c r="IM12" s="2670"/>
      <c r="IN12" s="2670"/>
      <c r="IO12" s="2670"/>
      <c r="IP12" s="2670"/>
      <c r="IQ12" s="2670"/>
      <c r="IR12" s="2670"/>
      <c r="IS12" s="2670"/>
      <c r="IT12" s="2670"/>
      <c r="IU12" s="2670"/>
      <c r="IV12" s="2670"/>
    </row>
    <row r="13" spans="1:257" ht="14.25">
      <c r="A13" s="2671"/>
      <c r="B13" s="2672" t="s">
        <v>2775</v>
      </c>
      <c r="C13" s="2673">
        <v>43941</v>
      </c>
      <c r="D13" s="2674">
        <v>3.85</v>
      </c>
      <c r="E13" s="2674">
        <v>3.85</v>
      </c>
      <c r="F13" s="2674">
        <v>3.85</v>
      </c>
      <c r="G13" s="2674">
        <v>3.85</v>
      </c>
      <c r="H13" s="2674">
        <v>4.6500000000000004</v>
      </c>
      <c r="I13" s="2674"/>
      <c r="J13" s="2674"/>
      <c r="K13" s="2671"/>
      <c r="L13" s="2672" t="s">
        <v>2775</v>
      </c>
      <c r="M13" s="2675">
        <v>42301</v>
      </c>
      <c r="N13" s="2674">
        <v>0.35</v>
      </c>
      <c r="O13" s="2674">
        <v>1.1000000000000001</v>
      </c>
      <c r="P13" s="2674">
        <v>1.3</v>
      </c>
      <c r="Q13" s="2674">
        <v>1.5</v>
      </c>
      <c r="R13" s="2674">
        <v>2.1</v>
      </c>
      <c r="S13" s="2674">
        <v>2.75</v>
      </c>
      <c r="T13" s="2674"/>
      <c r="U13" s="2674"/>
      <c r="V13" s="2674"/>
      <c r="W13" s="2674"/>
      <c r="X13" s="2674"/>
      <c r="Y13" s="2674"/>
      <c r="Z13" s="2674"/>
      <c r="AA13" s="2676"/>
      <c r="AB13" s="2676"/>
      <c r="AC13" s="2676"/>
      <c r="AD13" s="2676"/>
      <c r="AE13" s="2676"/>
      <c r="AF13" s="2676"/>
      <c r="AG13" s="2676"/>
      <c r="AH13" s="2676"/>
      <c r="AI13" s="2676"/>
      <c r="AJ13" s="2676"/>
      <c r="AK13" s="2676"/>
      <c r="AL13" s="2676"/>
      <c r="AM13" s="2676"/>
      <c r="AN13" s="2676"/>
      <c r="AO13" s="2676"/>
      <c r="AP13" s="2676"/>
      <c r="AQ13" s="2676"/>
      <c r="AR13" s="2676"/>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c r="BP13" s="2676"/>
      <c r="BQ13" s="2676"/>
      <c r="BR13" s="2676"/>
      <c r="BS13" s="2676"/>
      <c r="BT13" s="2676"/>
      <c r="BU13" s="2676"/>
      <c r="BV13" s="2676"/>
      <c r="BW13" s="2676"/>
      <c r="BX13" s="2676"/>
      <c r="BY13" s="2676"/>
      <c r="BZ13" s="2676"/>
      <c r="CA13" s="2676"/>
      <c r="CB13" s="2676"/>
      <c r="CC13" s="2676"/>
      <c r="CD13" s="2676"/>
      <c r="CE13" s="2676"/>
      <c r="CF13" s="2676"/>
      <c r="CG13" s="2676"/>
      <c r="CH13" s="2676"/>
      <c r="CI13" s="2676"/>
      <c r="CJ13" s="2676"/>
      <c r="CK13" s="2676"/>
      <c r="CL13" s="2676"/>
      <c r="CM13" s="2676"/>
      <c r="CN13" s="2676"/>
      <c r="CO13" s="2676"/>
      <c r="CP13" s="2676"/>
      <c r="CQ13" s="2676"/>
      <c r="CR13" s="2676"/>
      <c r="CS13" s="2676"/>
      <c r="CT13" s="2676"/>
      <c r="CU13" s="2676"/>
      <c r="CV13" s="2676"/>
      <c r="CW13" s="2676"/>
      <c r="CX13" s="2676"/>
      <c r="CY13" s="2676"/>
      <c r="CZ13" s="2676"/>
      <c r="DA13" s="2676"/>
      <c r="DB13" s="2676"/>
      <c r="DC13" s="2676"/>
      <c r="DD13" s="2676"/>
      <c r="DE13" s="2676"/>
      <c r="DF13" s="2676"/>
      <c r="DG13" s="2676"/>
      <c r="DH13" s="2676"/>
      <c r="DI13" s="2676"/>
      <c r="DJ13" s="2676"/>
      <c r="DK13" s="2676"/>
      <c r="DL13" s="2676"/>
      <c r="DM13" s="2676"/>
      <c r="DN13" s="2676"/>
      <c r="DO13" s="2676"/>
      <c r="DP13" s="2676"/>
      <c r="DQ13" s="2676"/>
      <c r="DR13" s="2676"/>
      <c r="DS13" s="2676"/>
      <c r="DT13" s="2676"/>
      <c r="DU13" s="2676"/>
      <c r="DV13" s="2676"/>
      <c r="DW13" s="2676"/>
      <c r="DX13" s="2676"/>
      <c r="DY13" s="2676"/>
      <c r="DZ13" s="2676"/>
      <c r="EA13" s="2676"/>
      <c r="EB13" s="2676"/>
      <c r="EC13" s="2676"/>
      <c r="ED13" s="2676"/>
      <c r="EE13" s="2676"/>
      <c r="EF13" s="2676"/>
      <c r="EG13" s="2676"/>
      <c r="EH13" s="2676"/>
      <c r="EI13" s="2676"/>
      <c r="EJ13" s="2676"/>
      <c r="EK13" s="2676"/>
      <c r="EL13" s="2676"/>
      <c r="EM13" s="2676"/>
      <c r="EN13" s="2676"/>
      <c r="EO13" s="2676"/>
      <c r="EP13" s="2676"/>
      <c r="EQ13" s="2676"/>
      <c r="ER13" s="2676"/>
      <c r="ES13" s="2676"/>
      <c r="ET13" s="2676"/>
      <c r="EU13" s="2676"/>
      <c r="EV13" s="2676"/>
      <c r="EW13" s="2676"/>
      <c r="EX13" s="2676"/>
      <c r="EY13" s="2676"/>
      <c r="EZ13" s="2676"/>
      <c r="FA13" s="2676"/>
      <c r="FB13" s="2676"/>
      <c r="FC13" s="2676"/>
      <c r="FD13" s="2676"/>
      <c r="FE13" s="2676"/>
      <c r="FF13" s="2676"/>
      <c r="FG13" s="2676"/>
      <c r="FH13" s="2676"/>
      <c r="FI13" s="2676"/>
      <c r="FJ13" s="2676"/>
      <c r="FK13" s="2676"/>
      <c r="FL13" s="2676"/>
      <c r="FM13" s="2676"/>
      <c r="FN13" s="2676"/>
      <c r="FO13" s="2676"/>
      <c r="FP13" s="2676"/>
      <c r="FQ13" s="2676"/>
      <c r="FR13" s="2676"/>
      <c r="FS13" s="2676"/>
      <c r="FT13" s="2676"/>
      <c r="FU13" s="2676"/>
      <c r="FV13" s="2676"/>
      <c r="FW13" s="2676"/>
      <c r="FX13" s="2676"/>
      <c r="FY13" s="2676"/>
      <c r="FZ13" s="2676"/>
      <c r="GA13" s="2676"/>
      <c r="GB13" s="2676"/>
      <c r="GC13" s="2676"/>
      <c r="GD13" s="2676"/>
      <c r="GE13" s="2676"/>
      <c r="GF13" s="2676"/>
      <c r="GG13" s="2676"/>
      <c r="GH13" s="2676"/>
      <c r="GI13" s="2676"/>
      <c r="GJ13" s="2676"/>
      <c r="GK13" s="2676"/>
      <c r="GL13" s="2676"/>
      <c r="GM13" s="2676"/>
      <c r="GN13" s="2676"/>
      <c r="GO13" s="2676"/>
      <c r="GP13" s="2676"/>
      <c r="GQ13" s="2676"/>
      <c r="GR13" s="2676"/>
      <c r="GS13" s="2676"/>
      <c r="GT13" s="2676"/>
      <c r="GU13" s="2676"/>
      <c r="GV13" s="2676"/>
      <c r="GW13" s="2676"/>
      <c r="GX13" s="2676"/>
      <c r="GY13" s="2676"/>
      <c r="GZ13" s="2676"/>
      <c r="HA13" s="2676"/>
      <c r="HB13" s="2676"/>
      <c r="HC13" s="2676"/>
      <c r="HD13" s="2676"/>
      <c r="HE13" s="2676"/>
      <c r="HF13" s="2676"/>
      <c r="HG13" s="2676"/>
      <c r="HH13" s="2676"/>
      <c r="HI13" s="2676"/>
      <c r="HJ13" s="2676"/>
      <c r="HK13" s="2676"/>
      <c r="HL13" s="2676"/>
      <c r="HM13" s="2676"/>
      <c r="HN13" s="2676"/>
      <c r="HO13" s="2676"/>
      <c r="HP13" s="2676"/>
      <c r="HQ13" s="2676"/>
      <c r="HR13" s="2676"/>
      <c r="HS13" s="2676"/>
      <c r="HT13" s="2676"/>
      <c r="HU13" s="2676"/>
      <c r="HV13" s="2676"/>
      <c r="HW13" s="2676"/>
      <c r="HX13" s="2676"/>
      <c r="HY13" s="2676"/>
      <c r="HZ13" s="2676"/>
      <c r="IA13" s="2676"/>
      <c r="IB13" s="2676"/>
      <c r="IC13" s="2676"/>
      <c r="ID13" s="2676"/>
      <c r="IE13" s="2676"/>
      <c r="IF13" s="2676"/>
      <c r="IG13" s="2676"/>
      <c r="IH13" s="2676"/>
      <c r="II13" s="2676"/>
      <c r="IJ13" s="2676"/>
      <c r="IK13" s="2676"/>
      <c r="IL13" s="2676"/>
      <c r="IM13" s="2676"/>
      <c r="IN13" s="2676"/>
      <c r="IO13" s="2676"/>
      <c r="IP13" s="2676"/>
      <c r="IQ13" s="2676"/>
      <c r="IR13" s="2676"/>
      <c r="IS13" s="2676"/>
      <c r="IT13" s="2676"/>
      <c r="IU13" s="2676"/>
      <c r="IV13" s="2676"/>
      <c r="IW13" s="2677"/>
    </row>
    <row r="14" spans="1:257" ht="14.25">
      <c r="A14" s="2671"/>
      <c r="B14" s="2678"/>
      <c r="C14" s="2679">
        <v>43881</v>
      </c>
      <c r="D14" s="2678">
        <v>4.05</v>
      </c>
      <c r="E14" s="2678">
        <v>4.05</v>
      </c>
      <c r="F14" s="2678">
        <v>4.05</v>
      </c>
      <c r="G14" s="2678">
        <v>4.05</v>
      </c>
      <c r="H14" s="2678">
        <v>4.75</v>
      </c>
      <c r="I14" s="2678"/>
      <c r="J14" s="2678"/>
      <c r="L14" s="2678"/>
      <c r="M14" s="2679">
        <v>42242</v>
      </c>
      <c r="N14" s="2678">
        <v>0.35</v>
      </c>
      <c r="O14" s="2678">
        <v>1.35</v>
      </c>
      <c r="P14" s="2678">
        <v>1.55</v>
      </c>
      <c r="Q14" s="2678">
        <v>1.75</v>
      </c>
      <c r="R14" s="2678">
        <v>2.35</v>
      </c>
      <c r="S14" s="2678">
        <v>3</v>
      </c>
      <c r="T14" s="2678"/>
      <c r="U14" s="2678"/>
      <c r="V14" s="2678"/>
      <c r="W14" s="2678"/>
      <c r="X14" s="2678"/>
      <c r="Y14" s="2678"/>
      <c r="Z14" s="2678"/>
    </row>
    <row r="15" spans="1:257" ht="14.25">
      <c r="A15" s="2671"/>
      <c r="B15" s="2678"/>
      <c r="C15" s="2679">
        <v>43789</v>
      </c>
      <c r="D15" s="2678">
        <v>4.1500000000000004</v>
      </c>
      <c r="E15" s="2678">
        <v>4.1500000000000004</v>
      </c>
      <c r="F15" s="2678">
        <v>4.1500000000000004</v>
      </c>
      <c r="G15" s="2678">
        <v>4.1500000000000004</v>
      </c>
      <c r="H15" s="2678">
        <v>4.8</v>
      </c>
      <c r="I15" s="2678"/>
      <c r="J15" s="2678"/>
      <c r="L15" s="2678"/>
      <c r="M15" s="2679">
        <v>42183</v>
      </c>
      <c r="N15" s="2678">
        <v>0.35</v>
      </c>
      <c r="O15" s="2678">
        <v>1.6</v>
      </c>
      <c r="P15" s="2678">
        <v>1.8</v>
      </c>
      <c r="Q15" s="2678">
        <v>2</v>
      </c>
      <c r="R15" s="2678">
        <v>2.6</v>
      </c>
      <c r="S15" s="2678">
        <v>3.25</v>
      </c>
      <c r="T15" s="2678"/>
      <c r="U15" s="2678"/>
      <c r="V15" s="2678"/>
      <c r="W15" s="2678"/>
      <c r="X15" s="2678"/>
      <c r="Y15" s="2678"/>
      <c r="Z15" s="2678"/>
    </row>
    <row r="16" spans="1:257" ht="14.25">
      <c r="A16" s="2671"/>
      <c r="B16" s="2678"/>
      <c r="C16" s="2679">
        <v>43728</v>
      </c>
      <c r="D16" s="2678">
        <v>4.2</v>
      </c>
      <c r="E16" s="2678">
        <v>4.2</v>
      </c>
      <c r="F16" s="2678">
        <v>4.2</v>
      </c>
      <c r="G16" s="2678">
        <v>4.2</v>
      </c>
      <c r="H16" s="2678">
        <v>4.8499999999999996</v>
      </c>
      <c r="I16" s="2678"/>
      <c r="J16" s="2678"/>
      <c r="L16" s="2678"/>
      <c r="M16" s="2679">
        <v>42135</v>
      </c>
      <c r="N16" s="2678">
        <v>0.35</v>
      </c>
      <c r="O16" s="2678">
        <v>1.85</v>
      </c>
      <c r="P16" s="2678">
        <v>2.0499999999999998</v>
      </c>
      <c r="Q16" s="2678">
        <v>2.25</v>
      </c>
      <c r="R16" s="2678">
        <v>2.85</v>
      </c>
      <c r="S16" s="2678">
        <v>3.5</v>
      </c>
      <c r="T16" s="2678"/>
      <c r="U16" s="2678"/>
      <c r="V16" s="2678"/>
      <c r="W16" s="2678"/>
      <c r="X16" s="2678"/>
      <c r="Y16" s="2678"/>
      <c r="Z16" s="2678"/>
    </row>
    <row r="17" spans="1:256" ht="14.25">
      <c r="A17" s="2671"/>
      <c r="B17" s="2672" t="s">
        <v>2977</v>
      </c>
      <c r="C17" s="2680">
        <v>43697</v>
      </c>
      <c r="D17" s="3246">
        <v>4.25</v>
      </c>
      <c r="E17" s="3246">
        <v>4.25</v>
      </c>
      <c r="F17" s="3246">
        <v>4.25</v>
      </c>
      <c r="G17" s="3246">
        <v>4.25</v>
      </c>
      <c r="H17" s="3246">
        <v>4.8499999999999996</v>
      </c>
      <c r="I17" s="3246"/>
      <c r="J17" s="3246"/>
      <c r="L17" s="2678"/>
      <c r="M17" s="2679">
        <v>42064</v>
      </c>
      <c r="N17" s="2678">
        <v>0.35</v>
      </c>
      <c r="O17" s="2678">
        <v>2.1</v>
      </c>
      <c r="P17" s="2678">
        <v>2.2999999999999998</v>
      </c>
      <c r="Q17" s="2678">
        <v>2.5</v>
      </c>
      <c r="R17" s="2678">
        <v>3.1</v>
      </c>
      <c r="S17" s="2678">
        <v>3.75</v>
      </c>
      <c r="T17" s="2678">
        <v>4.5</v>
      </c>
      <c r="U17" s="2678">
        <v>2.35</v>
      </c>
      <c r="V17" s="2678">
        <v>2.5499999999999998</v>
      </c>
      <c r="W17" s="2678">
        <v>2.75</v>
      </c>
      <c r="X17" s="2678"/>
      <c r="Y17" s="2678">
        <v>0.8</v>
      </c>
      <c r="Z17" s="2678">
        <v>1.35</v>
      </c>
    </row>
    <row r="18" spans="1:256" s="3254" customFormat="1" ht="15">
      <c r="A18" s="3249"/>
      <c r="B18" s="3250"/>
      <c r="C18" s="3251">
        <v>42301</v>
      </c>
      <c r="D18" s="3252">
        <v>4.3499999999999996</v>
      </c>
      <c r="E18" s="3252">
        <v>4.3499999999999996</v>
      </c>
      <c r="F18" s="3252">
        <v>4.75</v>
      </c>
      <c r="G18" s="3252">
        <v>4.75</v>
      </c>
      <c r="H18" s="3252">
        <v>4.9000000000000004</v>
      </c>
      <c r="I18" s="3252"/>
      <c r="J18" s="3252"/>
      <c r="K18" s="2665"/>
      <c r="L18" s="3252"/>
      <c r="M18" s="3251">
        <v>41965</v>
      </c>
      <c r="N18" s="3252">
        <v>0.35</v>
      </c>
      <c r="O18" s="3252">
        <v>2.35</v>
      </c>
      <c r="P18" s="3252">
        <v>2.5499999999999998</v>
      </c>
      <c r="Q18" s="3252">
        <v>2.75</v>
      </c>
      <c r="R18" s="3252">
        <v>3.35</v>
      </c>
      <c r="S18" s="3252">
        <v>4</v>
      </c>
      <c r="T18" s="3252">
        <v>4.75</v>
      </c>
      <c r="U18" s="3253">
        <v>2.35</v>
      </c>
      <c r="V18" s="3253">
        <v>2.5499999999999998</v>
      </c>
      <c r="W18" s="3253">
        <v>2.75</v>
      </c>
      <c r="X18" s="3252"/>
      <c r="Y18" s="3253">
        <v>0.8</v>
      </c>
      <c r="Z18" s="3253">
        <v>1.35</v>
      </c>
      <c r="AA18" s="2670"/>
      <c r="AB18" s="2670"/>
      <c r="AC18" s="2670"/>
      <c r="AD18" s="2670"/>
      <c r="AE18" s="2670"/>
      <c r="AF18" s="2670"/>
      <c r="AG18" s="2670"/>
      <c r="AH18" s="2670"/>
      <c r="AI18" s="2670"/>
      <c r="AJ18" s="2670"/>
      <c r="AK18" s="2670"/>
      <c r="AL18" s="2670"/>
      <c r="AM18" s="2670"/>
      <c r="AN18" s="2670"/>
      <c r="AO18" s="2670"/>
      <c r="AP18" s="2670"/>
      <c r="AQ18" s="2670"/>
      <c r="AR18" s="2670"/>
      <c r="AS18" s="2670"/>
      <c r="AT18" s="2670"/>
      <c r="AU18" s="2670"/>
      <c r="AV18" s="2670"/>
      <c r="AW18" s="2670"/>
      <c r="AX18" s="2670"/>
      <c r="AY18" s="2670"/>
      <c r="AZ18" s="2670"/>
      <c r="BA18" s="2670"/>
      <c r="BB18" s="2670"/>
      <c r="BC18" s="2670"/>
      <c r="BD18" s="2670"/>
      <c r="BE18" s="2670"/>
      <c r="BF18" s="2670"/>
      <c r="BG18" s="2670"/>
      <c r="BH18" s="2670"/>
      <c r="BI18" s="2670"/>
      <c r="BJ18" s="2670"/>
      <c r="BK18" s="2670"/>
      <c r="BL18" s="2670"/>
      <c r="BM18" s="2670"/>
      <c r="BN18" s="2670"/>
      <c r="BO18" s="2670"/>
      <c r="BP18" s="2670"/>
      <c r="BQ18" s="2670"/>
      <c r="BR18" s="2670"/>
      <c r="BS18" s="2670"/>
      <c r="BT18" s="2670"/>
      <c r="BU18" s="2670"/>
      <c r="BV18" s="2670"/>
      <c r="BW18" s="2670"/>
      <c r="BX18" s="2670"/>
      <c r="BY18" s="2670"/>
      <c r="BZ18" s="2670"/>
      <c r="CA18" s="2670"/>
      <c r="CB18" s="2670"/>
      <c r="CC18" s="2670"/>
      <c r="CD18" s="2670"/>
      <c r="CE18" s="2670"/>
      <c r="CF18" s="2670"/>
      <c r="CG18" s="2670"/>
      <c r="CH18" s="2670"/>
      <c r="CI18" s="2670"/>
      <c r="CJ18" s="2670"/>
      <c r="CK18" s="2670"/>
      <c r="CL18" s="2670"/>
      <c r="CM18" s="2670"/>
      <c r="CN18" s="2670"/>
      <c r="CO18" s="2670"/>
      <c r="CP18" s="2670"/>
      <c r="CQ18" s="2670"/>
      <c r="CR18" s="2670"/>
      <c r="CS18" s="2670"/>
      <c r="CT18" s="2670"/>
      <c r="CU18" s="2670"/>
      <c r="CV18" s="2670"/>
      <c r="CW18" s="2670"/>
      <c r="CX18" s="2670"/>
      <c r="CY18" s="2670"/>
      <c r="CZ18" s="2670"/>
      <c r="DA18" s="2670"/>
      <c r="DB18" s="2670"/>
      <c r="DC18" s="2670"/>
      <c r="DD18" s="2670"/>
      <c r="DE18" s="2670"/>
      <c r="DF18" s="2670"/>
      <c r="DG18" s="2670"/>
      <c r="DH18" s="2670"/>
      <c r="DI18" s="2670"/>
      <c r="DJ18" s="2670"/>
      <c r="DK18" s="2670"/>
      <c r="DL18" s="2670"/>
      <c r="DM18" s="2670"/>
      <c r="DN18" s="2670"/>
      <c r="DO18" s="2670"/>
      <c r="DP18" s="2670"/>
      <c r="DQ18" s="2670"/>
      <c r="DR18" s="2670"/>
      <c r="DS18" s="2670"/>
      <c r="DT18" s="2670"/>
      <c r="DU18" s="2670"/>
      <c r="DV18" s="2670"/>
      <c r="DW18" s="2670"/>
      <c r="DX18" s="2670"/>
      <c r="DY18" s="2670"/>
      <c r="DZ18" s="2670"/>
      <c r="EA18" s="2670"/>
      <c r="EB18" s="2670"/>
      <c r="EC18" s="2670"/>
      <c r="ED18" s="2670"/>
      <c r="EE18" s="2670"/>
      <c r="EF18" s="2670"/>
      <c r="EG18" s="2670"/>
      <c r="EH18" s="2670"/>
      <c r="EI18" s="2670"/>
      <c r="EJ18" s="2670"/>
      <c r="EK18" s="2670"/>
      <c r="EL18" s="2670"/>
      <c r="EM18" s="2670"/>
      <c r="EN18" s="2670"/>
      <c r="EO18" s="2670"/>
      <c r="EP18" s="2670"/>
      <c r="EQ18" s="2670"/>
      <c r="ER18" s="2670"/>
      <c r="ES18" s="2670"/>
      <c r="ET18" s="2670"/>
      <c r="EU18" s="2670"/>
      <c r="EV18" s="2670"/>
      <c r="EW18" s="2670"/>
      <c r="EX18" s="2670"/>
      <c r="EY18" s="2670"/>
      <c r="EZ18" s="2670"/>
      <c r="FA18" s="2670"/>
      <c r="FB18" s="2670"/>
      <c r="FC18" s="2670"/>
      <c r="FD18" s="2670"/>
      <c r="FE18" s="2670"/>
      <c r="FF18" s="2670"/>
      <c r="FG18" s="2670"/>
      <c r="FH18" s="2670"/>
      <c r="FI18" s="2670"/>
      <c r="FJ18" s="2670"/>
      <c r="FK18" s="2670"/>
      <c r="FL18" s="2670"/>
      <c r="FM18" s="2670"/>
      <c r="FN18" s="2670"/>
      <c r="FO18" s="2670"/>
      <c r="FP18" s="2670"/>
      <c r="FQ18" s="2670"/>
      <c r="FR18" s="2670"/>
      <c r="FS18" s="2670"/>
      <c r="FT18" s="2670"/>
      <c r="FU18" s="2670"/>
      <c r="FV18" s="2670"/>
      <c r="FW18" s="2670"/>
      <c r="FX18" s="2670"/>
      <c r="FY18" s="2670"/>
      <c r="FZ18" s="2670"/>
      <c r="GA18" s="2670"/>
      <c r="GB18" s="2670"/>
      <c r="GC18" s="2670"/>
      <c r="GD18" s="2670"/>
      <c r="GE18" s="2670"/>
      <c r="GF18" s="2670"/>
      <c r="GG18" s="2670"/>
      <c r="GH18" s="2670"/>
      <c r="GI18" s="2670"/>
      <c r="GJ18" s="2670"/>
      <c r="GK18" s="2670"/>
      <c r="GL18" s="2670"/>
      <c r="GM18" s="2670"/>
      <c r="GN18" s="2670"/>
      <c r="GO18" s="2670"/>
      <c r="GP18" s="2670"/>
      <c r="GQ18" s="2670"/>
      <c r="GR18" s="2670"/>
      <c r="GS18" s="2670"/>
      <c r="GT18" s="2670"/>
      <c r="GU18" s="2670"/>
      <c r="GV18" s="2670"/>
      <c r="GW18" s="2670"/>
      <c r="GX18" s="2670"/>
      <c r="GY18" s="2670"/>
      <c r="GZ18" s="2670"/>
      <c r="HA18" s="2670"/>
      <c r="HB18" s="2670"/>
      <c r="HC18" s="2670"/>
      <c r="HD18" s="2670"/>
      <c r="HE18" s="2670"/>
      <c r="HF18" s="2670"/>
      <c r="HG18" s="2670"/>
      <c r="HH18" s="2670"/>
      <c r="HI18" s="2670"/>
      <c r="HJ18" s="2670"/>
      <c r="HK18" s="2670"/>
      <c r="HL18" s="2670"/>
      <c r="HM18" s="2670"/>
      <c r="HN18" s="2670"/>
      <c r="HO18" s="2670"/>
      <c r="HP18" s="2670"/>
      <c r="HQ18" s="2670"/>
      <c r="HR18" s="2670"/>
      <c r="HS18" s="2670"/>
      <c r="HT18" s="2670"/>
      <c r="HU18" s="2670"/>
      <c r="HV18" s="2670"/>
      <c r="HW18" s="2670"/>
      <c r="HX18" s="2670"/>
      <c r="HY18" s="2670"/>
      <c r="HZ18" s="2670"/>
      <c r="IA18" s="2670"/>
      <c r="IB18" s="2670"/>
      <c r="IC18" s="2670"/>
      <c r="ID18" s="2670"/>
      <c r="IE18" s="2670"/>
      <c r="IF18" s="2670"/>
      <c r="IG18" s="2670"/>
      <c r="IH18" s="2670"/>
      <c r="II18" s="2670"/>
      <c r="IJ18" s="2670"/>
      <c r="IK18" s="2670"/>
      <c r="IL18" s="2670"/>
      <c r="IM18" s="2670"/>
      <c r="IN18" s="2670"/>
      <c r="IO18" s="2670"/>
      <c r="IP18" s="2670"/>
      <c r="IQ18" s="2670"/>
      <c r="IR18" s="2670"/>
      <c r="IS18" s="2670"/>
      <c r="IT18" s="2670"/>
      <c r="IU18" s="2670"/>
      <c r="IV18" s="2670"/>
    </row>
    <row r="19" spans="1:256">
      <c r="B19" s="2678"/>
      <c r="C19" s="2679">
        <v>42242</v>
      </c>
      <c r="D19" s="2678">
        <v>4.5999999999999996</v>
      </c>
      <c r="E19" s="2678">
        <v>4.5999999999999996</v>
      </c>
      <c r="F19" s="2678">
        <v>5</v>
      </c>
      <c r="G19" s="2678">
        <v>5</v>
      </c>
      <c r="H19" s="2678">
        <v>5.15</v>
      </c>
      <c r="I19" s="2678">
        <v>2.75</v>
      </c>
      <c r="J19" s="2678">
        <v>3.25</v>
      </c>
      <c r="L19" s="2678"/>
      <c r="M19" s="2679">
        <v>41096</v>
      </c>
      <c r="N19" s="2678">
        <v>0.35</v>
      </c>
      <c r="O19" s="2678">
        <v>2.6</v>
      </c>
      <c r="P19" s="2678">
        <v>2.8</v>
      </c>
      <c r="Q19" s="2678">
        <v>3</v>
      </c>
      <c r="R19" s="2678">
        <v>3.75</v>
      </c>
      <c r="S19" s="2678">
        <v>4.25</v>
      </c>
      <c r="T19" s="2678">
        <v>4.75</v>
      </c>
      <c r="U19" s="2678">
        <v>2.85</v>
      </c>
      <c r="V19" s="2678">
        <v>2.9</v>
      </c>
      <c r="W19" s="2678">
        <v>3</v>
      </c>
      <c r="X19" s="2678">
        <v>1.1499999999999999</v>
      </c>
      <c r="Y19" s="2678">
        <v>0.8</v>
      </c>
      <c r="Z19" s="2678">
        <v>1.35</v>
      </c>
    </row>
    <row r="20" spans="1:256">
      <c r="B20" s="2678"/>
      <c r="C20" s="2679">
        <v>42183</v>
      </c>
      <c r="D20" s="2678">
        <v>4.8499999999999996</v>
      </c>
      <c r="E20" s="2678">
        <v>4.8499999999999996</v>
      </c>
      <c r="F20" s="2678">
        <v>5.25</v>
      </c>
      <c r="G20" s="2678">
        <v>5.25</v>
      </c>
      <c r="H20" s="2678">
        <v>5.4</v>
      </c>
      <c r="I20" s="2678">
        <v>3</v>
      </c>
      <c r="J20" s="2678">
        <v>3.5</v>
      </c>
      <c r="L20" s="2678"/>
      <c r="M20" s="2679">
        <v>41068</v>
      </c>
      <c r="N20" s="2678">
        <v>0.4</v>
      </c>
      <c r="O20" s="2678">
        <v>2.85</v>
      </c>
      <c r="P20" s="2678">
        <v>3.05</v>
      </c>
      <c r="Q20" s="2678">
        <v>3.25</v>
      </c>
      <c r="R20" s="2678">
        <v>4.0999999999999996</v>
      </c>
      <c r="S20" s="2678">
        <v>4.6500000000000004</v>
      </c>
      <c r="T20" s="2678">
        <v>5.0999999999999996</v>
      </c>
      <c r="U20" s="2678">
        <v>3.1</v>
      </c>
      <c r="V20" s="2678">
        <v>3.15</v>
      </c>
      <c r="W20" s="2678">
        <v>3.25</v>
      </c>
      <c r="X20" s="2678">
        <v>1.31</v>
      </c>
      <c r="Y20" s="2678">
        <v>0.94</v>
      </c>
      <c r="Z20" s="2678">
        <v>1.49</v>
      </c>
    </row>
    <row r="21" spans="1:256">
      <c r="B21" s="2678"/>
      <c r="C21" s="2679">
        <v>42135</v>
      </c>
      <c r="D21" s="2678">
        <v>5.0999999999999996</v>
      </c>
      <c r="E21" s="2678">
        <v>5.0999999999999996</v>
      </c>
      <c r="F21" s="2678">
        <v>5.5</v>
      </c>
      <c r="G21" s="2678">
        <v>5.5</v>
      </c>
      <c r="H21" s="2678">
        <v>5.65</v>
      </c>
      <c r="I21" s="2678">
        <v>3.25</v>
      </c>
      <c r="J21" s="2678">
        <v>3.75</v>
      </c>
      <c r="L21" s="2678"/>
      <c r="M21" s="2679">
        <v>40731</v>
      </c>
      <c r="N21" s="2678">
        <v>0.5</v>
      </c>
      <c r="O21" s="2678">
        <v>3.1</v>
      </c>
      <c r="P21" s="2678">
        <v>3.3</v>
      </c>
      <c r="Q21" s="2678">
        <v>3.5</v>
      </c>
      <c r="R21" s="2678">
        <v>4.4000000000000004</v>
      </c>
      <c r="S21" s="2678">
        <v>5</v>
      </c>
      <c r="T21" s="2678">
        <v>5.5</v>
      </c>
      <c r="U21" s="2678">
        <v>3.1</v>
      </c>
      <c r="V21" s="2678">
        <v>3.3</v>
      </c>
      <c r="W21" s="2678">
        <v>3.5</v>
      </c>
      <c r="X21" s="2678">
        <v>1.31</v>
      </c>
      <c r="Y21" s="2678">
        <v>0.95</v>
      </c>
      <c r="Z21" s="2678">
        <v>1.49</v>
      </c>
    </row>
    <row r="22" spans="1:256">
      <c r="B22" s="2678"/>
      <c r="C22" s="2679">
        <v>42064</v>
      </c>
      <c r="D22" s="2678">
        <v>5.35</v>
      </c>
      <c r="E22" s="2678">
        <v>5.35</v>
      </c>
      <c r="F22" s="2678">
        <v>5.75</v>
      </c>
      <c r="G22" s="2678">
        <v>5.75</v>
      </c>
      <c r="H22" s="2678">
        <v>5.9</v>
      </c>
      <c r="I22" s="2678"/>
      <c r="J22" s="2678"/>
      <c r="L22" s="2678"/>
      <c r="M22" s="2679">
        <v>40639</v>
      </c>
      <c r="N22" s="2678">
        <v>0.5</v>
      </c>
      <c r="O22" s="2678">
        <v>2.85</v>
      </c>
      <c r="P22" s="2678">
        <v>3.05</v>
      </c>
      <c r="Q22" s="2678">
        <v>3.25</v>
      </c>
      <c r="R22" s="2678">
        <v>4.1500000000000004</v>
      </c>
      <c r="S22" s="2678">
        <v>4.75</v>
      </c>
      <c r="T22" s="2678">
        <v>5.25</v>
      </c>
      <c r="U22" s="2678">
        <v>2.85</v>
      </c>
      <c r="V22" s="2678">
        <v>3.05</v>
      </c>
      <c r="W22" s="2678">
        <v>3.25</v>
      </c>
      <c r="X22" s="2678">
        <v>1.31</v>
      </c>
      <c r="Y22" s="2678">
        <v>0.95</v>
      </c>
      <c r="Z22" s="2678">
        <v>1.49</v>
      </c>
    </row>
    <row r="23" spans="1:256">
      <c r="B23" s="2678"/>
      <c r="C23" s="2679">
        <v>41965</v>
      </c>
      <c r="D23" s="2678">
        <v>5.6</v>
      </c>
      <c r="E23" s="2678">
        <v>5.6</v>
      </c>
      <c r="F23" s="2678">
        <v>6</v>
      </c>
      <c r="G23" s="2678">
        <v>6</v>
      </c>
      <c r="H23" s="2678">
        <v>6.15</v>
      </c>
      <c r="I23" s="2678"/>
      <c r="J23" s="2678"/>
      <c r="L23" s="2678"/>
      <c r="M23" s="2679">
        <v>40583</v>
      </c>
      <c r="N23" s="2678">
        <v>0.4</v>
      </c>
      <c r="O23" s="2678">
        <v>2.6</v>
      </c>
      <c r="P23" s="2678">
        <v>2.8</v>
      </c>
      <c r="Q23" s="2678">
        <v>3</v>
      </c>
      <c r="R23" s="2678">
        <v>3.9</v>
      </c>
      <c r="S23" s="2678">
        <v>4.5</v>
      </c>
      <c r="T23" s="2678">
        <v>5</v>
      </c>
      <c r="U23" s="2678">
        <v>2.6</v>
      </c>
      <c r="V23" s="2678">
        <v>2.8</v>
      </c>
      <c r="W23" s="2678">
        <v>3</v>
      </c>
      <c r="X23" s="2678">
        <v>1.21</v>
      </c>
      <c r="Y23" s="2678">
        <v>0.85</v>
      </c>
      <c r="Z23" s="2678">
        <v>1.39</v>
      </c>
    </row>
    <row r="24" spans="1:256">
      <c r="B24" s="2678"/>
      <c r="C24" s="2679">
        <v>41096</v>
      </c>
      <c r="D24" s="2678">
        <v>5.6</v>
      </c>
      <c r="E24" s="2678">
        <v>6</v>
      </c>
      <c r="F24" s="2678">
        <v>6.15</v>
      </c>
      <c r="G24" s="2678">
        <v>6.4</v>
      </c>
      <c r="H24" s="2678">
        <v>6.55</v>
      </c>
      <c r="I24" s="2678">
        <v>4</v>
      </c>
      <c r="J24" s="2678">
        <v>4.5</v>
      </c>
      <c r="L24" s="2678"/>
      <c r="M24" s="2679">
        <v>40538</v>
      </c>
      <c r="N24" s="2678">
        <v>0.36</v>
      </c>
      <c r="O24" s="2678">
        <v>2.25</v>
      </c>
      <c r="P24" s="2678">
        <v>2.5</v>
      </c>
      <c r="Q24" s="2678">
        <v>2.75</v>
      </c>
      <c r="R24" s="2678">
        <v>3.55</v>
      </c>
      <c r="S24" s="2678">
        <v>4.1500000000000004</v>
      </c>
      <c r="T24" s="2678">
        <v>4.55</v>
      </c>
      <c r="U24" s="2678">
        <v>2.16</v>
      </c>
      <c r="V24" s="2678">
        <v>2.5</v>
      </c>
      <c r="W24" s="2678">
        <v>2.85</v>
      </c>
      <c r="X24" s="2678">
        <v>1.17</v>
      </c>
      <c r="Y24" s="2678">
        <v>0.81</v>
      </c>
      <c r="Z24" s="2678">
        <v>1.35</v>
      </c>
    </row>
    <row r="25" spans="1:256">
      <c r="B25" s="2678"/>
      <c r="C25" s="2679">
        <v>41068</v>
      </c>
      <c r="D25" s="2678">
        <v>5.85</v>
      </c>
      <c r="E25" s="2678">
        <v>6.31</v>
      </c>
      <c r="F25" s="2678">
        <v>6.4</v>
      </c>
      <c r="G25" s="2678">
        <v>6.65</v>
      </c>
      <c r="H25" s="2678">
        <v>6.8</v>
      </c>
      <c r="I25" s="2678">
        <v>4.2</v>
      </c>
      <c r="J25" s="2678">
        <v>4.7</v>
      </c>
      <c r="L25" s="2678"/>
      <c r="M25" s="2679">
        <v>40471</v>
      </c>
      <c r="N25" s="2678">
        <v>0.36</v>
      </c>
      <c r="O25" s="2678">
        <v>1.91</v>
      </c>
      <c r="P25" s="2678">
        <v>2.2000000000000002</v>
      </c>
      <c r="Q25" s="2678">
        <v>2.5</v>
      </c>
      <c r="R25" s="2678">
        <v>3.25</v>
      </c>
      <c r="S25" s="2678">
        <v>3.85</v>
      </c>
      <c r="T25" s="2678">
        <v>4.2</v>
      </c>
      <c r="U25" s="2678">
        <v>1.91</v>
      </c>
      <c r="V25" s="2678">
        <v>2.2000000000000002</v>
      </c>
      <c r="W25" s="2678">
        <v>2.5</v>
      </c>
      <c r="X25" s="2678">
        <v>1.17</v>
      </c>
      <c r="Y25" s="2678">
        <v>0.81</v>
      </c>
      <c r="Z25" s="2678">
        <v>1.35</v>
      </c>
    </row>
    <row r="26" spans="1:256">
      <c r="B26" s="2678"/>
      <c r="C26" s="2679">
        <v>40731</v>
      </c>
      <c r="D26" s="2678">
        <v>6.1</v>
      </c>
      <c r="E26" s="2678">
        <v>6.56</v>
      </c>
      <c r="F26" s="2678">
        <v>6.65</v>
      </c>
      <c r="G26" s="2678">
        <v>6.9</v>
      </c>
      <c r="H26" s="2678">
        <v>7.05</v>
      </c>
      <c r="I26" s="2678">
        <v>4.45</v>
      </c>
      <c r="J26" s="2678">
        <v>4.9000000000000004</v>
      </c>
      <c r="L26" s="2678"/>
      <c r="M26" s="2679">
        <v>39805</v>
      </c>
      <c r="N26" s="2678">
        <v>0.36</v>
      </c>
      <c r="O26" s="2678">
        <v>1.71</v>
      </c>
      <c r="P26" s="2678">
        <v>1.98</v>
      </c>
      <c r="Q26" s="2678">
        <v>2.25</v>
      </c>
      <c r="R26" s="2678">
        <v>2.79</v>
      </c>
      <c r="S26" s="2678">
        <v>3.33</v>
      </c>
      <c r="T26" s="2678">
        <v>3.6</v>
      </c>
      <c r="U26" s="2678">
        <v>1.71</v>
      </c>
      <c r="V26" s="2678">
        <v>1.98</v>
      </c>
      <c r="W26" s="2678">
        <v>2.25</v>
      </c>
      <c r="X26" s="2678">
        <v>1.17</v>
      </c>
      <c r="Y26" s="2678">
        <v>0.81</v>
      </c>
      <c r="Z26" s="2678">
        <v>1.35</v>
      </c>
    </row>
    <row r="27" spans="1:256">
      <c r="B27" s="2678"/>
      <c r="C27" s="2679">
        <v>40639</v>
      </c>
      <c r="D27" s="2678">
        <v>5.85</v>
      </c>
      <c r="E27" s="2678">
        <v>6.31</v>
      </c>
      <c r="F27" s="2678">
        <v>6.4</v>
      </c>
      <c r="G27" s="2678">
        <v>6.65</v>
      </c>
      <c r="H27" s="2678">
        <v>6.8</v>
      </c>
      <c r="I27" s="2678">
        <v>4.2</v>
      </c>
      <c r="J27" s="2678">
        <v>4.7</v>
      </c>
      <c r="L27" s="2678"/>
      <c r="M27" s="2679">
        <v>39779</v>
      </c>
      <c r="N27" s="2678">
        <v>0.36</v>
      </c>
      <c r="O27" s="2678">
        <v>1.98</v>
      </c>
      <c r="P27" s="2678">
        <v>2.25</v>
      </c>
      <c r="Q27" s="2678">
        <v>2.52</v>
      </c>
      <c r="R27" s="2678">
        <v>3.06</v>
      </c>
      <c r="S27" s="2678">
        <v>3.6</v>
      </c>
      <c r="T27" s="2678">
        <v>3.87</v>
      </c>
      <c r="U27" s="2678">
        <v>1.98</v>
      </c>
      <c r="V27" s="2678">
        <v>2.25</v>
      </c>
      <c r="W27" s="2678">
        <v>2.52</v>
      </c>
      <c r="X27" s="2678">
        <v>1.17</v>
      </c>
      <c r="Y27" s="2678">
        <v>0.81</v>
      </c>
      <c r="Z27" s="2678">
        <v>1.35</v>
      </c>
    </row>
    <row r="28" spans="1:256">
      <c r="B28" s="2678"/>
      <c r="C28" s="2679">
        <v>40583</v>
      </c>
      <c r="D28" s="2678">
        <v>5.6</v>
      </c>
      <c r="E28" s="2678">
        <v>6.06</v>
      </c>
      <c r="F28" s="2678">
        <v>6.1</v>
      </c>
      <c r="G28" s="2678">
        <v>6.45</v>
      </c>
      <c r="H28" s="2678">
        <v>6.6</v>
      </c>
      <c r="I28" s="2678">
        <v>4</v>
      </c>
      <c r="J28" s="2678">
        <v>4.5</v>
      </c>
      <c r="L28" s="2678"/>
      <c r="M28" s="2679">
        <v>39751</v>
      </c>
      <c r="N28" s="2678">
        <v>0.72</v>
      </c>
      <c r="O28" s="2678">
        <v>2.88</v>
      </c>
      <c r="P28" s="2678">
        <v>3.24</v>
      </c>
      <c r="Q28" s="2678">
        <v>3.6</v>
      </c>
      <c r="R28" s="2678">
        <v>4.1399999999999997</v>
      </c>
      <c r="S28" s="2678">
        <v>4.7699999999999996</v>
      </c>
      <c r="T28" s="2678">
        <v>5.13</v>
      </c>
      <c r="U28" s="2678">
        <v>2.88</v>
      </c>
      <c r="V28" s="2678">
        <v>3.24</v>
      </c>
      <c r="W28" s="2678">
        <v>3.6</v>
      </c>
      <c r="X28" s="2678">
        <v>1.53</v>
      </c>
      <c r="Y28" s="2678">
        <v>1.17</v>
      </c>
      <c r="Z28" s="2678">
        <v>1.71</v>
      </c>
    </row>
    <row r="29" spans="1:256">
      <c r="B29" s="2678"/>
      <c r="C29" s="2679">
        <v>40538</v>
      </c>
      <c r="D29" s="2678">
        <v>5.35</v>
      </c>
      <c r="E29" s="2678">
        <v>5.81</v>
      </c>
      <c r="F29" s="2678">
        <v>5.85</v>
      </c>
      <c r="G29" s="2678">
        <v>6.22</v>
      </c>
      <c r="H29" s="2678">
        <v>6.4</v>
      </c>
      <c r="I29" s="2678">
        <v>3.75</v>
      </c>
      <c r="J29" s="2678">
        <v>4.3</v>
      </c>
      <c r="L29" s="2678"/>
      <c r="M29" s="2680">
        <v>39736</v>
      </c>
      <c r="N29" s="2678">
        <v>0.72</v>
      </c>
      <c r="O29" s="2678">
        <v>3.15</v>
      </c>
      <c r="P29" s="2678">
        <v>3.51</v>
      </c>
      <c r="Q29" s="2678">
        <v>3.87</v>
      </c>
      <c r="R29" s="2678">
        <v>4.41</v>
      </c>
      <c r="S29" s="2678">
        <v>5.13</v>
      </c>
      <c r="T29" s="2678">
        <v>5.58</v>
      </c>
      <c r="U29" s="2678">
        <v>3.15</v>
      </c>
      <c r="V29" s="2678">
        <v>3.51</v>
      </c>
      <c r="W29" s="2678">
        <v>3.87</v>
      </c>
      <c r="X29" s="2678">
        <v>1.53</v>
      </c>
      <c r="Y29" s="2678">
        <v>1.17</v>
      </c>
      <c r="Z29" s="2678">
        <v>1.71</v>
      </c>
    </row>
    <row r="30" spans="1:256">
      <c r="B30" s="2678"/>
      <c r="C30" s="2679">
        <v>40471</v>
      </c>
      <c r="D30" s="2678">
        <v>5.0999999999999996</v>
      </c>
      <c r="E30" s="2678">
        <v>5.56</v>
      </c>
      <c r="F30" s="2678">
        <v>5.6</v>
      </c>
      <c r="G30" s="2678">
        <v>5.96</v>
      </c>
      <c r="H30" s="2678">
        <v>6.14</v>
      </c>
      <c r="I30" s="2678">
        <v>3.5</v>
      </c>
      <c r="J30" s="2678">
        <v>4.05</v>
      </c>
      <c r="L30" s="2678"/>
      <c r="M30" s="2679">
        <v>39730</v>
      </c>
      <c r="N30" s="2678">
        <v>0.72</v>
      </c>
      <c r="O30" s="2678">
        <v>3.15</v>
      </c>
      <c r="P30" s="2678">
        <v>3.51</v>
      </c>
      <c r="Q30" s="2678">
        <v>3.87</v>
      </c>
      <c r="R30" s="2678">
        <v>4.41</v>
      </c>
      <c r="S30" s="2678">
        <v>5.13</v>
      </c>
      <c r="T30" s="2678">
        <v>5.58</v>
      </c>
      <c r="U30" s="2678">
        <v>3.15</v>
      </c>
      <c r="V30" s="2678">
        <v>3.51</v>
      </c>
      <c r="W30" s="2678">
        <v>3.87</v>
      </c>
      <c r="X30" s="2678">
        <v>1.53</v>
      </c>
      <c r="Y30" s="2678">
        <v>1.17</v>
      </c>
      <c r="Z30" s="2678">
        <v>1.71</v>
      </c>
    </row>
    <row r="31" spans="1:256">
      <c r="B31" s="2678"/>
      <c r="C31" s="2679">
        <v>39805</v>
      </c>
      <c r="D31" s="2678">
        <v>4.8600000000000003</v>
      </c>
      <c r="E31" s="2678">
        <v>5.31</v>
      </c>
      <c r="F31" s="2678">
        <v>5.4</v>
      </c>
      <c r="G31" s="2678">
        <v>5.76</v>
      </c>
      <c r="H31" s="2678">
        <v>5.94</v>
      </c>
      <c r="I31" s="2678">
        <v>3.33</v>
      </c>
      <c r="J31" s="2678">
        <v>3.87</v>
      </c>
      <c r="L31" s="2678"/>
      <c r="M31" s="2679">
        <v>39437</v>
      </c>
      <c r="N31" s="2678">
        <v>0.72</v>
      </c>
      <c r="O31" s="2678">
        <v>3.33</v>
      </c>
      <c r="P31" s="2678">
        <v>3.78</v>
      </c>
      <c r="Q31" s="2678">
        <v>4.1399999999999997</v>
      </c>
      <c r="R31" s="2678">
        <v>4.68</v>
      </c>
      <c r="S31" s="2678">
        <v>5.4</v>
      </c>
      <c r="T31" s="2678">
        <v>5.85</v>
      </c>
      <c r="U31" s="2678">
        <v>3.33</v>
      </c>
      <c r="V31" s="2678">
        <v>3.78</v>
      </c>
      <c r="W31" s="2678">
        <v>4.1399999999999997</v>
      </c>
      <c r="X31" s="2678">
        <v>1.53</v>
      </c>
      <c r="Y31" s="2678">
        <v>1.17</v>
      </c>
      <c r="Z31" s="2678">
        <v>1.71</v>
      </c>
    </row>
    <row r="32" spans="1:256">
      <c r="B32" s="2678"/>
      <c r="C32" s="2679">
        <v>39779</v>
      </c>
      <c r="D32" s="2678">
        <v>5.04</v>
      </c>
      <c r="E32" s="2678">
        <v>5.58</v>
      </c>
      <c r="F32" s="2678">
        <v>5.67</v>
      </c>
      <c r="G32" s="2678">
        <v>5.94</v>
      </c>
      <c r="H32" s="2678">
        <v>6.12</v>
      </c>
      <c r="I32" s="2678">
        <v>3.51</v>
      </c>
      <c r="J32" s="2678">
        <v>4.05</v>
      </c>
      <c r="L32" s="2678"/>
      <c r="M32" s="2679">
        <v>39340</v>
      </c>
      <c r="N32" s="2678">
        <v>0.81</v>
      </c>
      <c r="O32" s="2678">
        <v>2.88</v>
      </c>
      <c r="P32" s="2678">
        <v>3.42</v>
      </c>
      <c r="Q32" s="2678">
        <v>3.87</v>
      </c>
      <c r="R32" s="2678">
        <v>4.5</v>
      </c>
      <c r="S32" s="2678">
        <v>5.22</v>
      </c>
      <c r="T32" s="2678">
        <v>5.76</v>
      </c>
      <c r="U32" s="2678">
        <v>2.88</v>
      </c>
      <c r="V32" s="2678">
        <v>3.42</v>
      </c>
      <c r="W32" s="2678">
        <v>3.87</v>
      </c>
      <c r="X32" s="2678">
        <v>1.53</v>
      </c>
      <c r="Y32" s="2678">
        <v>1.17</v>
      </c>
      <c r="Z32" s="2678">
        <v>1.71</v>
      </c>
    </row>
    <row r="33" spans="2:26">
      <c r="B33" s="2678"/>
      <c r="C33" s="2679">
        <v>39751</v>
      </c>
      <c r="D33" s="2678">
        <v>6.03</v>
      </c>
      <c r="E33" s="2678">
        <v>6.66</v>
      </c>
      <c r="F33" s="2678">
        <v>6.75</v>
      </c>
      <c r="G33" s="2678">
        <v>7.02</v>
      </c>
      <c r="H33" s="2678">
        <v>7.2</v>
      </c>
      <c r="I33" s="2678">
        <v>4.05</v>
      </c>
      <c r="J33" s="2678">
        <v>4.59</v>
      </c>
      <c r="L33" s="2678"/>
      <c r="M33" s="2679">
        <v>39316</v>
      </c>
      <c r="N33" s="2678">
        <v>0.81</v>
      </c>
      <c r="O33" s="2678">
        <v>2.61</v>
      </c>
      <c r="P33" s="2678">
        <v>3.15</v>
      </c>
      <c r="Q33" s="2678">
        <v>3.6</v>
      </c>
      <c r="R33" s="2678">
        <v>4.2300000000000004</v>
      </c>
      <c r="S33" s="2678">
        <v>4.95</v>
      </c>
      <c r="T33" s="2678">
        <v>5.49</v>
      </c>
      <c r="U33" s="2678">
        <v>2.61</v>
      </c>
      <c r="V33" s="2678">
        <v>3.15</v>
      </c>
      <c r="W33" s="2678">
        <v>3.6</v>
      </c>
      <c r="X33" s="2678">
        <v>1.53</v>
      </c>
      <c r="Y33" s="2678">
        <v>1.17</v>
      </c>
      <c r="Z33" s="2678">
        <v>1.71</v>
      </c>
    </row>
    <row r="34" spans="2:26">
      <c r="B34" s="2678"/>
      <c r="C34" s="2680">
        <v>39748</v>
      </c>
      <c r="D34" s="2678">
        <v>6.12</v>
      </c>
      <c r="E34" s="2678">
        <v>6.93</v>
      </c>
      <c r="F34" s="2678">
        <v>7.02</v>
      </c>
      <c r="G34" s="2678">
        <v>7.29</v>
      </c>
      <c r="H34" s="2678">
        <v>7.47</v>
      </c>
      <c r="I34" s="2678">
        <v>4.05</v>
      </c>
      <c r="J34" s="2678">
        <v>4.59</v>
      </c>
      <c r="L34" s="2678"/>
      <c r="M34" s="2679">
        <v>39284</v>
      </c>
      <c r="N34" s="2678">
        <v>0.81</v>
      </c>
      <c r="O34" s="2678">
        <v>2.34</v>
      </c>
      <c r="P34" s="2678">
        <v>2.88</v>
      </c>
      <c r="Q34" s="2678">
        <v>3.33</v>
      </c>
      <c r="R34" s="2678">
        <v>3.96</v>
      </c>
      <c r="S34" s="2678">
        <v>4.68</v>
      </c>
      <c r="T34" s="2678">
        <v>5.22</v>
      </c>
      <c r="U34" s="2678">
        <v>2.34</v>
      </c>
      <c r="V34" s="2678">
        <v>2.88</v>
      </c>
      <c r="W34" s="2678">
        <v>3.33</v>
      </c>
      <c r="X34" s="2678">
        <v>1.53</v>
      </c>
      <c r="Y34" s="2678">
        <v>1.17</v>
      </c>
      <c r="Z34" s="2678">
        <v>1.71</v>
      </c>
    </row>
    <row r="35" spans="2:26">
      <c r="B35" s="2678"/>
      <c r="C35" s="2679">
        <v>39730</v>
      </c>
      <c r="D35" s="2678">
        <v>6.12</v>
      </c>
      <c r="E35" s="2678">
        <v>6.93</v>
      </c>
      <c r="F35" s="2678">
        <v>7.02</v>
      </c>
      <c r="G35" s="2678">
        <v>7.29</v>
      </c>
      <c r="H35" s="2678">
        <v>7.47</v>
      </c>
      <c r="I35" s="2678">
        <v>4.32</v>
      </c>
      <c r="J35" s="2678">
        <v>4.8600000000000003</v>
      </c>
      <c r="L35" s="2678"/>
      <c r="M35" s="2679">
        <v>39221</v>
      </c>
      <c r="N35" s="2678">
        <v>0.72</v>
      </c>
      <c r="O35" s="2678">
        <v>2.0699999999999998</v>
      </c>
      <c r="P35" s="2678">
        <v>2.61</v>
      </c>
      <c r="Q35" s="2678">
        <v>3.06</v>
      </c>
      <c r="R35" s="2678">
        <v>3.69</v>
      </c>
      <c r="S35" s="2678">
        <v>4.41</v>
      </c>
      <c r="T35" s="2678">
        <v>4.95</v>
      </c>
      <c r="U35" s="2678">
        <v>2.0699999999999998</v>
      </c>
      <c r="V35" s="2678">
        <v>2.61</v>
      </c>
      <c r="W35" s="2678">
        <v>3.06</v>
      </c>
      <c r="X35" s="2678">
        <v>1.44</v>
      </c>
      <c r="Y35" s="2678">
        <v>1.08</v>
      </c>
      <c r="Z35" s="2678">
        <v>1.62</v>
      </c>
    </row>
    <row r="36" spans="2:26">
      <c r="B36" s="2678"/>
      <c r="C36" s="2679">
        <v>39707</v>
      </c>
      <c r="D36" s="2678">
        <v>6.21</v>
      </c>
      <c r="E36" s="2678">
        <v>7.2</v>
      </c>
      <c r="F36" s="2678">
        <v>7.29</v>
      </c>
      <c r="G36" s="2678">
        <v>7.56</v>
      </c>
      <c r="H36" s="2678">
        <v>7.74</v>
      </c>
      <c r="I36" s="2678">
        <v>4.59</v>
      </c>
      <c r="J36" s="2678">
        <v>5.13</v>
      </c>
      <c r="L36" s="2678"/>
      <c r="M36" s="2679">
        <v>39159</v>
      </c>
      <c r="N36" s="2678">
        <v>0.72</v>
      </c>
      <c r="O36" s="2678">
        <v>1.98</v>
      </c>
      <c r="P36" s="2678">
        <v>2.4300000000000002</v>
      </c>
      <c r="Q36" s="2678">
        <v>2.79</v>
      </c>
      <c r="R36" s="2678">
        <v>3.33</v>
      </c>
      <c r="S36" s="2678">
        <v>3.96</v>
      </c>
      <c r="T36" s="2678">
        <v>4.41</v>
      </c>
      <c r="U36" s="2678">
        <v>1.98</v>
      </c>
      <c r="V36" s="2678">
        <v>2.4300000000000002</v>
      </c>
      <c r="W36" s="2678">
        <v>2.79</v>
      </c>
      <c r="X36" s="2678">
        <v>1.44</v>
      </c>
      <c r="Y36" s="2678">
        <v>1.08</v>
      </c>
      <c r="Z36" s="2678">
        <v>1.62</v>
      </c>
    </row>
    <row r="37" spans="2:26">
      <c r="B37" s="2678"/>
      <c r="C37" s="2679">
        <v>39437</v>
      </c>
      <c r="D37" s="2678">
        <v>6.57</v>
      </c>
      <c r="E37" s="2678">
        <v>7.47</v>
      </c>
      <c r="F37" s="2678">
        <v>7.56</v>
      </c>
      <c r="G37" s="2678">
        <v>7.74</v>
      </c>
      <c r="H37" s="2678">
        <v>7.83</v>
      </c>
      <c r="I37" s="2678">
        <v>4.7699999999999996</v>
      </c>
      <c r="J37" s="2678">
        <v>5.22</v>
      </c>
      <c r="L37" s="2678"/>
      <c r="M37" s="2679">
        <v>38948</v>
      </c>
      <c r="N37" s="2678">
        <v>0.72</v>
      </c>
      <c r="O37" s="2678">
        <v>1.8</v>
      </c>
      <c r="P37" s="2678">
        <v>2.25</v>
      </c>
      <c r="Q37" s="2678">
        <v>2.52</v>
      </c>
      <c r="R37" s="2678">
        <v>3.06</v>
      </c>
      <c r="S37" s="2678">
        <v>3.69</v>
      </c>
      <c r="T37" s="2678">
        <v>4.1399999999999997</v>
      </c>
      <c r="U37" s="2678">
        <v>1.8</v>
      </c>
      <c r="V37" s="2678">
        <v>2.25</v>
      </c>
      <c r="W37" s="2678">
        <v>2.52</v>
      </c>
      <c r="X37" s="2678">
        <v>1.44</v>
      </c>
      <c r="Y37" s="2678">
        <v>1.08</v>
      </c>
      <c r="Z37" s="2678">
        <v>1.62</v>
      </c>
    </row>
    <row r="38" spans="2:26">
      <c r="B38" s="2678"/>
      <c r="C38" s="2679">
        <v>39340</v>
      </c>
      <c r="D38" s="2678">
        <v>6.48</v>
      </c>
      <c r="E38" s="2678">
        <v>7.29</v>
      </c>
      <c r="F38" s="2678">
        <v>7.47</v>
      </c>
      <c r="G38" s="2678">
        <v>7.65</v>
      </c>
      <c r="H38" s="2678">
        <v>7.83</v>
      </c>
      <c r="I38" s="2678">
        <v>4.7699999999999996</v>
      </c>
      <c r="J38" s="2678">
        <v>5.22</v>
      </c>
      <c r="L38" s="2678"/>
      <c r="M38" s="2679">
        <v>38289</v>
      </c>
      <c r="N38" s="2678">
        <v>0.72</v>
      </c>
      <c r="O38" s="2678">
        <v>1.71</v>
      </c>
      <c r="P38" s="2678">
        <v>2.0699999999999998</v>
      </c>
      <c r="Q38" s="2678">
        <v>2.25</v>
      </c>
      <c r="R38" s="2678">
        <v>2.7</v>
      </c>
      <c r="S38" s="2678">
        <v>3.24</v>
      </c>
      <c r="T38" s="2678">
        <v>3.6</v>
      </c>
      <c r="U38" s="2678">
        <v>1.71</v>
      </c>
      <c r="V38" s="2678">
        <v>2.0699999999999998</v>
      </c>
      <c r="W38" s="2678">
        <v>2.25</v>
      </c>
      <c r="X38" s="2678">
        <v>1.44</v>
      </c>
      <c r="Y38" s="2678">
        <v>1.08</v>
      </c>
      <c r="Z38" s="2678">
        <v>1.62</v>
      </c>
    </row>
    <row r="39" spans="2:26">
      <c r="B39" s="2678"/>
      <c r="C39" s="2679">
        <v>39316</v>
      </c>
      <c r="D39" s="2678">
        <v>6.21</v>
      </c>
      <c r="E39" s="2678">
        <v>7.02</v>
      </c>
      <c r="F39" s="2678">
        <v>7.2</v>
      </c>
      <c r="G39" s="2678">
        <v>7.38</v>
      </c>
      <c r="H39" s="2678">
        <v>7.56</v>
      </c>
      <c r="I39" s="2678">
        <v>4.59</v>
      </c>
      <c r="J39" s="2678">
        <v>5.04</v>
      </c>
      <c r="L39" s="2678"/>
      <c r="M39" s="2679">
        <v>37308</v>
      </c>
      <c r="N39" s="2678">
        <v>0.72</v>
      </c>
      <c r="O39" s="2678">
        <v>1.71</v>
      </c>
      <c r="P39" s="2678">
        <v>1.89</v>
      </c>
      <c r="Q39" s="2678">
        <v>1.98</v>
      </c>
      <c r="R39" s="2678">
        <v>2.25</v>
      </c>
      <c r="S39" s="2678">
        <v>2.52</v>
      </c>
      <c r="T39" s="2678">
        <v>2.79</v>
      </c>
      <c r="U39" s="2678">
        <v>1.71</v>
      </c>
      <c r="V39" s="2678">
        <v>1.89</v>
      </c>
      <c r="W39" s="2678">
        <v>1.98</v>
      </c>
      <c r="X39" s="2678">
        <v>1.44</v>
      </c>
      <c r="Y39" s="2678">
        <v>1.08</v>
      </c>
      <c r="Z39" s="2678">
        <v>1.62</v>
      </c>
    </row>
    <row r="40" spans="2:26">
      <c r="B40" s="2678"/>
      <c r="C40" s="2679">
        <v>39284</v>
      </c>
      <c r="D40" s="2678">
        <v>6.03</v>
      </c>
      <c r="E40" s="2678">
        <v>6.84</v>
      </c>
      <c r="F40" s="2678">
        <v>7.02</v>
      </c>
      <c r="G40" s="2678">
        <v>7.2</v>
      </c>
      <c r="H40" s="2678">
        <v>7.38</v>
      </c>
      <c r="I40" s="2678">
        <v>4.5</v>
      </c>
      <c r="J40" s="2678">
        <v>4.95</v>
      </c>
      <c r="L40" s="2678"/>
      <c r="M40" s="2679">
        <v>36321</v>
      </c>
      <c r="N40" s="2678">
        <v>0.99</v>
      </c>
      <c r="O40" s="2678">
        <v>1.98</v>
      </c>
      <c r="P40" s="2678">
        <v>2.16</v>
      </c>
      <c r="Q40" s="2678">
        <v>2.25</v>
      </c>
      <c r="R40" s="2678">
        <v>2.4300000000000002</v>
      </c>
      <c r="S40" s="2678">
        <v>2.7</v>
      </c>
      <c r="T40" s="2678">
        <v>2.88</v>
      </c>
      <c r="U40" s="2678">
        <v>1.98</v>
      </c>
      <c r="V40" s="2678">
        <v>2.16</v>
      </c>
      <c r="W40" s="2678">
        <v>2.25</v>
      </c>
      <c r="X40" s="2678">
        <v>1.71</v>
      </c>
      <c r="Y40" s="2678">
        <v>1.35</v>
      </c>
      <c r="Z40" s="2678">
        <v>1.89</v>
      </c>
    </row>
    <row r="41" spans="2:26">
      <c r="B41" s="2678"/>
      <c r="C41" s="2679">
        <v>39221</v>
      </c>
      <c r="D41" s="2678">
        <v>5.85</v>
      </c>
      <c r="E41" s="2678">
        <v>6.57</v>
      </c>
      <c r="F41" s="2678">
        <v>6.75</v>
      </c>
      <c r="G41" s="2678">
        <v>6.93</v>
      </c>
      <c r="H41" s="2678">
        <v>7.2</v>
      </c>
      <c r="I41" s="2678">
        <v>4.41</v>
      </c>
      <c r="J41" s="2678">
        <v>4.8600000000000003</v>
      </c>
      <c r="L41" s="2678"/>
      <c r="M41" s="2679">
        <v>36136</v>
      </c>
      <c r="N41" s="2678">
        <v>1.44</v>
      </c>
      <c r="O41" s="2678">
        <v>2.79</v>
      </c>
      <c r="P41" s="2678">
        <v>3.33</v>
      </c>
      <c r="Q41" s="2678">
        <v>3.78</v>
      </c>
      <c r="R41" s="2678">
        <v>3.96</v>
      </c>
      <c r="S41" s="2678">
        <v>4.1399999999999997</v>
      </c>
      <c r="T41" s="2678">
        <v>4.5</v>
      </c>
      <c r="U41" s="2678">
        <v>3.33</v>
      </c>
      <c r="V41" s="2678">
        <v>3.78</v>
      </c>
      <c r="W41" s="2678">
        <v>4.1399999999999997</v>
      </c>
      <c r="X41" s="2678">
        <v>2.16</v>
      </c>
      <c r="Y41" s="2678">
        <v>1.8</v>
      </c>
      <c r="Z41" s="2678">
        <v>2.34</v>
      </c>
    </row>
    <row r="42" spans="2:26">
      <c r="B42" s="2678"/>
      <c r="C42" s="2679">
        <v>39159</v>
      </c>
      <c r="D42" s="2678">
        <v>5.67</v>
      </c>
      <c r="E42" s="2678">
        <v>6.39</v>
      </c>
      <c r="F42" s="2678">
        <v>6.57</v>
      </c>
      <c r="G42" s="2678">
        <v>6.75</v>
      </c>
      <c r="H42" s="2678">
        <v>7.11</v>
      </c>
      <c r="I42" s="2678">
        <v>4.32</v>
      </c>
      <c r="J42" s="2678">
        <v>4.7699999999999996</v>
      </c>
      <c r="L42" s="2678"/>
      <c r="M42" s="2679">
        <v>35977</v>
      </c>
      <c r="N42" s="2678">
        <v>1.44</v>
      </c>
      <c r="O42" s="2678">
        <v>2.79</v>
      </c>
      <c r="P42" s="2678">
        <v>3.96</v>
      </c>
      <c r="Q42" s="2678">
        <v>4.7699999999999996</v>
      </c>
      <c r="R42" s="2678">
        <v>4.8600000000000003</v>
      </c>
      <c r="S42" s="2678">
        <v>4.95</v>
      </c>
      <c r="T42" s="2678">
        <v>5.22</v>
      </c>
      <c r="U42" s="2678">
        <v>3.96</v>
      </c>
      <c r="V42" s="2678">
        <v>4.7699999999999996</v>
      </c>
      <c r="W42" s="2678">
        <v>4.95</v>
      </c>
      <c r="X42" s="2678" t="s">
        <v>2776</v>
      </c>
      <c r="Y42" s="2678" t="s">
        <v>2776</v>
      </c>
      <c r="Z42" s="2678" t="s">
        <v>2776</v>
      </c>
    </row>
    <row r="43" spans="2:26">
      <c r="B43" s="2678"/>
      <c r="C43" s="2679">
        <v>38948</v>
      </c>
      <c r="D43" s="2678">
        <v>5.58</v>
      </c>
      <c r="E43" s="2678">
        <v>6.12</v>
      </c>
      <c r="F43" s="2678">
        <v>6.3</v>
      </c>
      <c r="G43" s="2678">
        <v>6.48</v>
      </c>
      <c r="H43" s="2678">
        <v>6.84</v>
      </c>
      <c r="I43" s="2678">
        <v>4.1399999999999997</v>
      </c>
      <c r="J43" s="2678">
        <v>4.59</v>
      </c>
      <c r="L43" s="2678"/>
      <c r="M43" s="2679">
        <v>35879</v>
      </c>
      <c r="N43" s="2678">
        <v>1.71</v>
      </c>
      <c r="O43" s="2678">
        <v>2.88</v>
      </c>
      <c r="P43" s="2678">
        <v>4.1399999999999997</v>
      </c>
      <c r="Q43" s="2678">
        <v>5.22</v>
      </c>
      <c r="R43" s="2678">
        <v>5.58</v>
      </c>
      <c r="S43" s="2678">
        <v>6.21</v>
      </c>
      <c r="T43" s="2678">
        <v>6.66</v>
      </c>
      <c r="U43" s="2678">
        <v>4.1399999999999997</v>
      </c>
      <c r="V43" s="2678">
        <v>5.22</v>
      </c>
      <c r="W43" s="2678">
        <v>6.21</v>
      </c>
      <c r="X43" s="2678" t="s">
        <v>2776</v>
      </c>
      <c r="Y43" s="2678" t="s">
        <v>2776</v>
      </c>
      <c r="Z43" s="2678" t="s">
        <v>2776</v>
      </c>
    </row>
    <row r="44" spans="2:26">
      <c r="B44" s="2678"/>
      <c r="C44" s="2679">
        <v>38835</v>
      </c>
      <c r="D44" s="2678">
        <v>5.4</v>
      </c>
      <c r="E44" s="2678">
        <v>5.85</v>
      </c>
      <c r="F44" s="2678">
        <v>6.03</v>
      </c>
      <c r="G44" s="2678">
        <v>6.12</v>
      </c>
      <c r="H44" s="2678">
        <v>6.39</v>
      </c>
      <c r="I44" s="2678">
        <v>4.1399999999999997</v>
      </c>
      <c r="J44" s="2678">
        <v>4.59</v>
      </c>
      <c r="L44" s="2678"/>
      <c r="M44" s="2679">
        <v>35726</v>
      </c>
      <c r="N44" s="2678">
        <v>1.71</v>
      </c>
      <c r="O44" s="2678">
        <v>2.88</v>
      </c>
      <c r="P44" s="2678">
        <v>4.1399999999999997</v>
      </c>
      <c r="Q44" s="2678">
        <v>5.67</v>
      </c>
      <c r="R44" s="2678">
        <v>5.94</v>
      </c>
      <c r="S44" s="2678">
        <v>6.21</v>
      </c>
      <c r="T44" s="2678">
        <v>6.66</v>
      </c>
      <c r="U44" s="2678">
        <v>4.1399999999999997</v>
      </c>
      <c r="V44" s="2678">
        <v>5.67</v>
      </c>
      <c r="W44" s="2678">
        <v>6.21</v>
      </c>
      <c r="X44" s="2678" t="s">
        <v>2776</v>
      </c>
      <c r="Y44" s="2678" t="s">
        <v>2776</v>
      </c>
      <c r="Z44" s="2678" t="s">
        <v>2776</v>
      </c>
    </row>
    <row r="45" spans="2:26">
      <c r="B45" s="2678"/>
      <c r="C45" s="2679">
        <v>38428</v>
      </c>
      <c r="D45" s="2678">
        <v>5.22</v>
      </c>
      <c r="E45" s="2678">
        <v>5.58</v>
      </c>
      <c r="F45" s="2678">
        <v>5.76</v>
      </c>
      <c r="G45" s="2678">
        <v>5.85</v>
      </c>
      <c r="H45" s="2678">
        <v>6.12</v>
      </c>
      <c r="I45" s="2678">
        <v>3.96</v>
      </c>
      <c r="J45" s="2678">
        <v>4.41</v>
      </c>
      <c r="L45" s="2678"/>
      <c r="M45" s="2679">
        <v>35300</v>
      </c>
      <c r="N45" s="2678">
        <v>1.98</v>
      </c>
      <c r="O45" s="2678">
        <v>3.33</v>
      </c>
      <c r="P45" s="2678">
        <v>5.4</v>
      </c>
      <c r="Q45" s="2678">
        <v>7.47</v>
      </c>
      <c r="R45" s="2678">
        <v>7.92</v>
      </c>
      <c r="S45" s="2678">
        <v>8.2799999999999994</v>
      </c>
      <c r="T45" s="2678">
        <v>9</v>
      </c>
      <c r="U45" s="2678">
        <v>5.4</v>
      </c>
      <c r="V45" s="2678">
        <v>7.47</v>
      </c>
      <c r="W45" s="2678">
        <v>8.2799999999999994</v>
      </c>
      <c r="X45" s="2678" t="s">
        <v>2776</v>
      </c>
      <c r="Y45" s="2678" t="s">
        <v>2776</v>
      </c>
      <c r="Z45" s="2678" t="s">
        <v>2776</v>
      </c>
    </row>
    <row r="46" spans="2:26">
      <c r="B46" s="2678"/>
      <c r="C46" s="2679">
        <v>38289</v>
      </c>
      <c r="D46" s="2678">
        <v>5.22</v>
      </c>
      <c r="E46" s="2678">
        <v>5.58</v>
      </c>
      <c r="F46" s="2678">
        <v>5.76</v>
      </c>
      <c r="G46" s="2678">
        <v>5.85</v>
      </c>
      <c r="H46" s="2678">
        <v>6.12</v>
      </c>
      <c r="I46" s="2678">
        <v>3.78</v>
      </c>
      <c r="J46" s="2678">
        <v>4.2300000000000004</v>
      </c>
      <c r="L46" s="2678"/>
      <c r="M46" s="2679">
        <v>35186</v>
      </c>
      <c r="N46" s="2678">
        <v>2.97</v>
      </c>
      <c r="O46" s="2678">
        <v>4.8600000000000003</v>
      </c>
      <c r="P46" s="2678">
        <v>7.2</v>
      </c>
      <c r="Q46" s="2678">
        <v>9.18</v>
      </c>
      <c r="R46" s="2678">
        <v>9.9</v>
      </c>
      <c r="S46" s="2678">
        <v>10.8</v>
      </c>
      <c r="T46" s="2678">
        <v>12.06</v>
      </c>
      <c r="U46" s="2678">
        <v>7.2</v>
      </c>
      <c r="V46" s="2678">
        <v>9.18</v>
      </c>
      <c r="W46" s="2678">
        <v>10.8</v>
      </c>
      <c r="X46" s="2678" t="s">
        <v>2776</v>
      </c>
      <c r="Y46" s="2678" t="s">
        <v>2776</v>
      </c>
      <c r="Z46" s="2678" t="s">
        <v>2776</v>
      </c>
    </row>
    <row r="47" spans="2:26">
      <c r="B47" s="2678"/>
      <c r="C47" s="2679">
        <v>37308</v>
      </c>
      <c r="D47" s="2678">
        <v>5.04</v>
      </c>
      <c r="E47" s="2678">
        <v>5.31</v>
      </c>
      <c r="F47" s="2678">
        <v>5.49</v>
      </c>
      <c r="G47" s="2678">
        <v>5.58</v>
      </c>
      <c r="H47" s="2678">
        <v>5.76</v>
      </c>
      <c r="I47" s="2678">
        <v>3.6</v>
      </c>
      <c r="J47" s="2678">
        <v>4.05</v>
      </c>
      <c r="L47" s="2678"/>
      <c r="M47" s="2679">
        <v>34161</v>
      </c>
      <c r="N47" s="2678">
        <v>3.15</v>
      </c>
      <c r="O47" s="2678">
        <v>6.66</v>
      </c>
      <c r="P47" s="2678">
        <v>9</v>
      </c>
      <c r="Q47" s="2678">
        <v>10.98</v>
      </c>
      <c r="R47" s="2678">
        <v>11.7</v>
      </c>
      <c r="S47" s="2678">
        <v>12.24</v>
      </c>
      <c r="T47" s="2678">
        <v>13.86</v>
      </c>
      <c r="U47" s="2678">
        <v>9</v>
      </c>
      <c r="V47" s="2678">
        <v>10.98</v>
      </c>
      <c r="W47" s="2678">
        <v>12.24</v>
      </c>
      <c r="X47" s="2678" t="s">
        <v>2776</v>
      </c>
      <c r="Y47" s="2678" t="s">
        <v>2776</v>
      </c>
      <c r="Z47" s="2678" t="s">
        <v>2776</v>
      </c>
    </row>
    <row r="48" spans="2:26">
      <c r="B48" s="2678"/>
      <c r="C48" s="2679">
        <v>36321</v>
      </c>
      <c r="D48" s="2678">
        <v>5.58</v>
      </c>
      <c r="E48" s="2678">
        <v>5.85</v>
      </c>
      <c r="F48" s="2678">
        <v>5.94</v>
      </c>
      <c r="G48" s="2678">
        <v>6.03</v>
      </c>
      <c r="H48" s="2678">
        <v>6.21</v>
      </c>
      <c r="I48" s="2678">
        <v>4.1399999999999997</v>
      </c>
      <c r="J48" s="2678">
        <v>4.59</v>
      </c>
      <c r="L48" s="2678"/>
      <c r="M48" s="2679">
        <v>34104</v>
      </c>
      <c r="N48" s="2678">
        <v>2.16</v>
      </c>
      <c r="O48" s="2678">
        <v>4.8600000000000003</v>
      </c>
      <c r="P48" s="2678">
        <v>7.2</v>
      </c>
      <c r="Q48" s="2678">
        <v>9.18</v>
      </c>
      <c r="R48" s="2678">
        <v>9.9</v>
      </c>
      <c r="S48" s="2678">
        <v>10.8</v>
      </c>
      <c r="T48" s="2678">
        <v>12.06</v>
      </c>
      <c r="U48" s="2678">
        <v>7.2</v>
      </c>
      <c r="V48" s="2678">
        <v>9.18</v>
      </c>
      <c r="W48" s="2678">
        <v>10.8</v>
      </c>
      <c r="X48" s="2678" t="s">
        <v>2776</v>
      </c>
      <c r="Y48" s="2678" t="s">
        <v>2776</v>
      </c>
      <c r="Z48" s="2678" t="s">
        <v>2776</v>
      </c>
    </row>
    <row r="49" spans="2:26">
      <c r="B49" s="2678"/>
      <c r="C49" s="2679">
        <v>36136</v>
      </c>
      <c r="D49" s="2678">
        <v>6.12</v>
      </c>
      <c r="E49" s="2678">
        <v>6.39</v>
      </c>
      <c r="F49" s="2678">
        <v>6.66</v>
      </c>
      <c r="G49" s="2678">
        <v>7.2</v>
      </c>
      <c r="H49" s="2678">
        <v>7.56</v>
      </c>
      <c r="I49" s="2678">
        <v>0</v>
      </c>
      <c r="J49" s="2678">
        <v>0</v>
      </c>
      <c r="L49" s="2678"/>
      <c r="M49" s="2679">
        <v>33349</v>
      </c>
      <c r="N49" s="2678">
        <v>1.8</v>
      </c>
      <c r="O49" s="2678">
        <v>3.24</v>
      </c>
      <c r="P49" s="2678">
        <v>5.4</v>
      </c>
      <c r="Q49" s="2678">
        <v>7.56</v>
      </c>
      <c r="R49" s="2678">
        <v>7.92</v>
      </c>
      <c r="S49" s="2678">
        <v>8.2799999999999994</v>
      </c>
      <c r="T49" s="2678">
        <v>9</v>
      </c>
      <c r="U49" s="2678">
        <v>6.12</v>
      </c>
      <c r="V49" s="2678">
        <v>6.84</v>
      </c>
      <c r="W49" s="2678">
        <v>7.56</v>
      </c>
      <c r="X49" s="2678" t="s">
        <v>2776</v>
      </c>
      <c r="Y49" s="2678" t="s">
        <v>2776</v>
      </c>
      <c r="Z49" s="2678" t="s">
        <v>2776</v>
      </c>
    </row>
    <row r="50" spans="2:26">
      <c r="B50" s="2678"/>
      <c r="C50" s="2679">
        <v>35977</v>
      </c>
      <c r="D50" s="2678">
        <v>6.57</v>
      </c>
      <c r="E50" s="2678">
        <v>6.93</v>
      </c>
      <c r="F50" s="2678">
        <v>7.11</v>
      </c>
      <c r="G50" s="2678">
        <v>7.65</v>
      </c>
      <c r="H50" s="2678">
        <v>8.01</v>
      </c>
      <c r="I50" s="2678">
        <v>0</v>
      </c>
      <c r="J50" s="2678">
        <v>0</v>
      </c>
      <c r="L50" s="2678"/>
      <c r="M50" s="2679">
        <v>33106</v>
      </c>
      <c r="N50" s="2678">
        <v>2.16</v>
      </c>
      <c r="O50" s="2678">
        <v>4.32</v>
      </c>
      <c r="P50" s="2678">
        <v>6.48</v>
      </c>
      <c r="Q50" s="2678">
        <v>8.64</v>
      </c>
      <c r="R50" s="2678">
        <v>9.36</v>
      </c>
      <c r="S50" s="2678">
        <v>10.08</v>
      </c>
      <c r="T50" s="2678">
        <v>11.52</v>
      </c>
      <c r="U50" s="2678">
        <v>7.2</v>
      </c>
      <c r="V50" s="2678">
        <v>8.64</v>
      </c>
      <c r="W50" s="2678">
        <v>10.08</v>
      </c>
      <c r="X50" s="2678" t="s">
        <v>2776</v>
      </c>
      <c r="Y50" s="2678" t="s">
        <v>2776</v>
      </c>
      <c r="Z50" s="2678" t="s">
        <v>2776</v>
      </c>
    </row>
    <row r="51" spans="2:26">
      <c r="B51" s="2678"/>
      <c r="C51" s="2679">
        <v>35879</v>
      </c>
      <c r="D51" s="2678">
        <v>7.02</v>
      </c>
      <c r="E51" s="2678">
        <v>7.92</v>
      </c>
      <c r="F51" s="2678">
        <v>9</v>
      </c>
      <c r="G51" s="2678">
        <v>9.7200000000000006</v>
      </c>
      <c r="H51" s="2678">
        <v>10.35</v>
      </c>
      <c r="I51" s="2678">
        <v>0</v>
      </c>
      <c r="J51" s="2678">
        <v>0</v>
      </c>
      <c r="L51" s="2678"/>
      <c r="M51" s="2679">
        <v>32978</v>
      </c>
      <c r="N51" s="2678">
        <v>2.88</v>
      </c>
      <c r="O51" s="2678">
        <v>6.3</v>
      </c>
      <c r="P51" s="2678">
        <v>7.74</v>
      </c>
      <c r="Q51" s="2678">
        <v>10.08</v>
      </c>
      <c r="R51" s="2678">
        <v>10.98</v>
      </c>
      <c r="S51" s="2678">
        <v>11.88</v>
      </c>
      <c r="T51" s="2678">
        <v>13.68</v>
      </c>
      <c r="U51" s="2678" t="s">
        <v>2776</v>
      </c>
      <c r="V51" s="2678" t="s">
        <v>2776</v>
      </c>
      <c r="W51" s="2678" t="s">
        <v>2776</v>
      </c>
      <c r="X51" s="2678" t="s">
        <v>2776</v>
      </c>
      <c r="Y51" s="2678" t="s">
        <v>2776</v>
      </c>
      <c r="Z51" s="2678" t="s">
        <v>2776</v>
      </c>
    </row>
    <row r="52" spans="2:26">
      <c r="B52" s="2678"/>
      <c r="C52" s="2679">
        <v>35726</v>
      </c>
      <c r="D52" s="2678">
        <v>7.65</v>
      </c>
      <c r="E52" s="2678">
        <v>8.64</v>
      </c>
      <c r="F52" s="2678">
        <v>9.36</v>
      </c>
      <c r="G52" s="2678">
        <v>9.9</v>
      </c>
      <c r="H52" s="2678">
        <v>10.53</v>
      </c>
      <c r="I52" s="2678">
        <v>0</v>
      </c>
      <c r="J52" s="2678">
        <v>0</v>
      </c>
      <c r="L52" s="2678"/>
      <c r="M52" s="2679"/>
      <c r="N52" s="2678"/>
      <c r="O52" s="2678"/>
      <c r="P52" s="2678"/>
      <c r="Q52" s="2678"/>
      <c r="R52" s="2678"/>
      <c r="S52" s="2678"/>
      <c r="T52" s="2678"/>
      <c r="U52" s="2678"/>
      <c r="V52" s="2678"/>
      <c r="W52" s="2678"/>
      <c r="X52" s="2678"/>
      <c r="Y52" s="2678"/>
      <c r="Z52" s="2678"/>
    </row>
    <row r="53" spans="2:26">
      <c r="B53" s="2678"/>
      <c r="C53" s="2679">
        <v>35300</v>
      </c>
      <c r="D53" s="2678">
        <v>9.18</v>
      </c>
      <c r="E53" s="2678">
        <v>10.08</v>
      </c>
      <c r="F53" s="2678">
        <v>10.98</v>
      </c>
      <c r="G53" s="2678">
        <v>11.7</v>
      </c>
      <c r="H53" s="2678">
        <v>12.42</v>
      </c>
      <c r="I53" s="2678">
        <v>0</v>
      </c>
      <c r="J53" s="2678">
        <v>0</v>
      </c>
      <c r="L53" s="2678"/>
      <c r="M53" s="2679"/>
      <c r="N53" s="2678"/>
      <c r="O53" s="2678"/>
      <c r="P53" s="2678"/>
      <c r="Q53" s="2678"/>
      <c r="R53" s="2678"/>
      <c r="S53" s="2678"/>
      <c r="T53" s="2678"/>
      <c r="U53" s="2678"/>
      <c r="V53" s="2678"/>
      <c r="W53" s="2678"/>
      <c r="X53" s="2678"/>
      <c r="Y53" s="2678"/>
      <c r="Z53" s="2678"/>
    </row>
    <row r="54" spans="2:26">
      <c r="B54" s="2678"/>
      <c r="C54" s="2679">
        <v>35186</v>
      </c>
      <c r="D54" s="2678">
        <v>9.7200000000000006</v>
      </c>
      <c r="E54" s="2678">
        <v>10.98</v>
      </c>
      <c r="F54" s="2678">
        <v>13.14</v>
      </c>
      <c r="G54" s="2678">
        <v>14.94</v>
      </c>
      <c r="H54" s="2678">
        <v>15.12</v>
      </c>
      <c r="I54" s="2678">
        <v>0</v>
      </c>
      <c r="J54" s="2678">
        <v>0</v>
      </c>
      <c r="L54" s="2678"/>
      <c r="M54" s="2679"/>
      <c r="N54" s="2678"/>
      <c r="O54" s="2678"/>
      <c r="P54" s="2678"/>
      <c r="Q54" s="2678"/>
      <c r="R54" s="2678"/>
      <c r="S54" s="2678"/>
      <c r="T54" s="2678"/>
      <c r="U54" s="2678"/>
      <c r="V54" s="2678"/>
      <c r="W54" s="2678"/>
      <c r="X54" s="2678"/>
      <c r="Y54" s="2678"/>
      <c r="Z54" s="2678"/>
    </row>
    <row r="55" spans="2:26">
      <c r="B55" s="2678"/>
      <c r="C55" s="2679">
        <v>34881</v>
      </c>
      <c r="D55" s="2678">
        <v>10.08</v>
      </c>
      <c r="E55" s="2678">
        <v>12.06</v>
      </c>
      <c r="F55" s="2678">
        <v>13.5</v>
      </c>
      <c r="G55" s="2678">
        <v>15.12</v>
      </c>
      <c r="H55" s="2678">
        <v>15.3</v>
      </c>
      <c r="I55" s="2678">
        <v>0</v>
      </c>
      <c r="J55" s="2678">
        <v>0</v>
      </c>
      <c r="L55" s="2678"/>
      <c r="M55" s="2679"/>
      <c r="N55" s="2678"/>
      <c r="O55" s="2678"/>
      <c r="P55" s="2678"/>
      <c r="Q55" s="2678"/>
      <c r="R55" s="2678"/>
      <c r="S55" s="2678"/>
      <c r="T55" s="2678"/>
      <c r="U55" s="2678"/>
      <c r="V55" s="2678"/>
      <c r="W55" s="2678"/>
      <c r="X55" s="2678"/>
      <c r="Y55" s="2678"/>
      <c r="Z55" s="2678"/>
    </row>
    <row r="56" spans="2:26">
      <c r="B56" s="2678"/>
      <c r="C56" s="2679">
        <v>34700</v>
      </c>
      <c r="D56" s="2678">
        <v>9</v>
      </c>
      <c r="E56" s="2678">
        <v>10.98</v>
      </c>
      <c r="F56" s="2678">
        <v>12.96</v>
      </c>
      <c r="G56" s="2678">
        <v>14.58</v>
      </c>
      <c r="H56" s="2678">
        <v>14.76</v>
      </c>
      <c r="I56" s="2678">
        <v>0</v>
      </c>
      <c r="J56" s="2678">
        <v>0</v>
      </c>
      <c r="L56" s="2678"/>
      <c r="M56" s="2679"/>
      <c r="N56" s="2678"/>
      <c r="O56" s="2678"/>
      <c r="P56" s="2678"/>
      <c r="Q56" s="2678"/>
      <c r="R56" s="2678"/>
      <c r="S56" s="2678"/>
      <c r="T56" s="2678"/>
      <c r="U56" s="2678"/>
      <c r="V56" s="2678"/>
      <c r="W56" s="2678"/>
      <c r="X56" s="2678"/>
      <c r="Y56" s="2678"/>
      <c r="Z56" s="2678"/>
    </row>
    <row r="57" spans="2:26">
      <c r="B57" s="2678"/>
      <c r="C57" s="2679">
        <v>34161</v>
      </c>
      <c r="D57" s="2678">
        <v>9</v>
      </c>
      <c r="E57" s="2678">
        <v>10.98</v>
      </c>
      <c r="F57" s="2678">
        <v>12.24</v>
      </c>
      <c r="G57" s="2678">
        <v>13.86</v>
      </c>
      <c r="H57" s="2678">
        <v>14.04</v>
      </c>
      <c r="I57" s="2678">
        <v>0</v>
      </c>
      <c r="J57" s="2678">
        <v>0</v>
      </c>
      <c r="L57" s="2678"/>
      <c r="M57" s="2679"/>
      <c r="N57" s="2678"/>
      <c r="O57" s="2678"/>
      <c r="P57" s="2678"/>
      <c r="Q57" s="2678"/>
      <c r="R57" s="2678"/>
      <c r="S57" s="2678"/>
      <c r="T57" s="2678"/>
      <c r="U57" s="2678"/>
      <c r="V57" s="2678"/>
      <c r="W57" s="2678"/>
      <c r="X57" s="2678"/>
      <c r="Y57" s="2678"/>
      <c r="Z57" s="2678"/>
    </row>
    <row r="58" spans="2:26">
      <c r="B58" s="2678"/>
      <c r="C58" s="2679">
        <v>34104</v>
      </c>
      <c r="D58" s="2678">
        <v>8.82</v>
      </c>
      <c r="E58" s="2678">
        <v>9.36</v>
      </c>
      <c r="F58" s="2678">
        <v>10.8</v>
      </c>
      <c r="G58" s="2678">
        <v>12.06</v>
      </c>
      <c r="H58" s="2678">
        <v>12.24</v>
      </c>
      <c r="I58" s="2678">
        <v>0</v>
      </c>
      <c r="J58" s="2678">
        <v>0</v>
      </c>
    </row>
    <row r="59" spans="2:26">
      <c r="B59" s="2678"/>
      <c r="C59" s="2679">
        <v>33349</v>
      </c>
      <c r="D59" s="2678">
        <v>8.1</v>
      </c>
      <c r="E59" s="2678">
        <v>8.64</v>
      </c>
      <c r="F59" s="2678">
        <v>9</v>
      </c>
      <c r="G59" s="2678">
        <v>9.5399999999999991</v>
      </c>
      <c r="H59" s="2678">
        <v>9.7200000000000006</v>
      </c>
      <c r="I59" s="2678">
        <v>0</v>
      </c>
      <c r="J59" s="2678">
        <v>0</v>
      </c>
    </row>
    <row r="60" spans="2:26">
      <c r="B60" s="2678"/>
      <c r="C60" s="2679">
        <v>33318</v>
      </c>
      <c r="D60" s="2678">
        <v>9</v>
      </c>
      <c r="E60" s="2678">
        <v>10.08</v>
      </c>
      <c r="F60" s="2678">
        <v>10.8</v>
      </c>
      <c r="G60" s="2678">
        <v>11.52</v>
      </c>
      <c r="H60" s="2678">
        <v>11.88</v>
      </c>
      <c r="I60" s="2678" t="s">
        <v>2776</v>
      </c>
      <c r="J60" s="2678" t="s">
        <v>2776</v>
      </c>
    </row>
    <row r="61" spans="2:26">
      <c r="B61" s="2678"/>
      <c r="C61" s="2679">
        <v>33106</v>
      </c>
      <c r="D61" s="2678">
        <v>8.64</v>
      </c>
      <c r="E61" s="2678">
        <v>9.36</v>
      </c>
      <c r="F61" s="2678">
        <v>10.08</v>
      </c>
      <c r="G61" s="2678">
        <v>10.8</v>
      </c>
      <c r="H61" s="2678">
        <v>11.16</v>
      </c>
      <c r="I61" s="2678">
        <v>0</v>
      </c>
      <c r="J61" s="2678">
        <v>0</v>
      </c>
    </row>
    <row r="62" spans="2:26">
      <c r="B62" s="2678"/>
      <c r="C62" s="2679">
        <v>32540</v>
      </c>
      <c r="D62" s="2678">
        <v>11.34</v>
      </c>
      <c r="E62" s="2678">
        <v>11.34</v>
      </c>
      <c r="F62" s="2678">
        <v>12.78</v>
      </c>
      <c r="G62" s="2678">
        <v>14.4</v>
      </c>
      <c r="H62" s="2678">
        <v>19.260000000000002</v>
      </c>
      <c r="I62" s="2678">
        <v>0</v>
      </c>
      <c r="J62" s="2678">
        <v>0</v>
      </c>
    </row>
    <row r="63" spans="2:26">
      <c r="B63" s="2678"/>
      <c r="C63" s="2679"/>
      <c r="D63" s="2678"/>
      <c r="E63" s="2678"/>
      <c r="F63" s="2678"/>
      <c r="G63" s="2678"/>
      <c r="H63" s="2678"/>
      <c r="I63" s="2678"/>
      <c r="J63" s="2678"/>
    </row>
    <row r="64" spans="2:26">
      <c r="B64" s="2681"/>
      <c r="C64" s="2682"/>
      <c r="D64" s="2681"/>
      <c r="E64" s="2681"/>
      <c r="F64" s="2681"/>
      <c r="G64" s="2681"/>
      <c r="H64" s="2681"/>
      <c r="I64" s="2681"/>
      <c r="J64" s="2681"/>
    </row>
    <row r="65" spans="2:10">
      <c r="B65" s="2681"/>
      <c r="C65" s="2682"/>
      <c r="D65" s="2681"/>
      <c r="E65" s="2681"/>
      <c r="F65" s="2681"/>
      <c r="G65" s="2681"/>
      <c r="H65" s="2681"/>
      <c r="I65" s="2681"/>
      <c r="J65" s="2681"/>
    </row>
    <row r="66" spans="2:10">
      <c r="B66" s="2681"/>
      <c r="C66" s="2682"/>
      <c r="D66" s="2681"/>
      <c r="E66" s="2681"/>
      <c r="F66" s="2681"/>
      <c r="G66" s="2681"/>
      <c r="H66" s="2681"/>
      <c r="I66" s="2681"/>
      <c r="J66" s="2681"/>
    </row>
    <row r="67" spans="2:10">
      <c r="B67" s="2629"/>
      <c r="C67" s="2629"/>
      <c r="D67" s="2629"/>
      <c r="E67" s="2629"/>
      <c r="F67" s="2629"/>
      <c r="G67" s="2629"/>
      <c r="H67" s="2629"/>
      <c r="I67" s="2629"/>
      <c r="J67" s="2629"/>
    </row>
    <row r="68" spans="2:10">
      <c r="B68" s="2629"/>
      <c r="C68" s="2629"/>
      <c r="D68" s="2629"/>
      <c r="E68" s="2629"/>
      <c r="F68" s="2629"/>
      <c r="G68" s="2629"/>
      <c r="H68" s="2629"/>
      <c r="I68" s="2629"/>
      <c r="J68" s="2629"/>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2012</v>
      </c>
      <c r="B1" s="3309"/>
      <c r="C1" s="3309"/>
      <c r="D1" s="3309"/>
      <c r="E1" s="3309"/>
      <c r="F1" s="3309"/>
      <c r="G1" s="3309"/>
      <c r="H1" s="3309"/>
      <c r="I1" s="3309"/>
      <c r="J1" s="3309"/>
      <c r="K1" s="3309"/>
      <c r="L1" s="3309"/>
      <c r="M1" s="3309"/>
      <c r="N1" s="3309"/>
      <c r="O1" s="3309"/>
      <c r="P1" s="3309"/>
      <c r="Q1" s="3309"/>
      <c r="R1" s="3309"/>
    </row>
    <row r="2" spans="1:18">
      <c r="A2" s="1697" t="s">
        <v>2014</v>
      </c>
      <c r="B2" s="1697"/>
      <c r="C2" s="1697"/>
      <c r="D2" s="1697"/>
      <c r="E2" s="1697"/>
      <c r="F2" s="1697"/>
      <c r="G2" s="1697"/>
      <c r="H2" s="1697"/>
      <c r="I2" s="1698"/>
      <c r="J2" s="1698"/>
      <c r="K2" s="1699" t="str">
        <f>"估价期日："&amp;TEXT(项目基本情况!D3,"yyyy年m月d日;;")</f>
        <v>估价期日：2022年1月13日</v>
      </c>
      <c r="L2" s="1697"/>
      <c r="M2" s="1697"/>
      <c r="N2" s="1697"/>
      <c r="O2" s="1697"/>
      <c r="P2" s="1697"/>
      <c r="Q2" s="1697"/>
      <c r="R2" s="1699" t="str">
        <f>"估价期日的国有建设用地使用权性质："&amp;项目基本情况!B16</f>
        <v>估价期日的国有建设用地使用权性质：出让</v>
      </c>
    </row>
    <row r="3" spans="1:18" ht="23.25" customHeight="1">
      <c r="A3" s="3310" t="s">
        <v>2003</v>
      </c>
      <c r="B3" s="3310" t="s">
        <v>2690</v>
      </c>
      <c r="C3" s="3311" t="s">
        <v>2004</v>
      </c>
      <c r="D3" s="3310" t="s">
        <v>2694</v>
      </c>
      <c r="E3" s="3305" t="s">
        <v>2005</v>
      </c>
      <c r="F3" s="3305"/>
      <c r="G3" s="3305"/>
      <c r="H3" s="3305" t="s">
        <v>2006</v>
      </c>
      <c r="I3" s="3305"/>
      <c r="J3" s="3305"/>
      <c r="K3" s="3311" t="s">
        <v>2007</v>
      </c>
      <c r="L3" s="3311" t="s">
        <v>2008</v>
      </c>
      <c r="M3" s="3310" t="s">
        <v>2691</v>
      </c>
      <c r="N3" s="3312" t="str">
        <f>"（分摊）"&amp;项目基本情况!B16&amp;"国有建设用地使用权面积/㎡"</f>
        <v>（分摊）出让国有建设用地使用权面积/㎡</v>
      </c>
      <c r="O3" s="3310" t="s">
        <v>2037</v>
      </c>
      <c r="P3" s="3311" t="s">
        <v>2017</v>
      </c>
      <c r="Q3" s="3311" t="s">
        <v>2038</v>
      </c>
      <c r="R3" s="3311" t="s">
        <v>2009</v>
      </c>
    </row>
    <row r="4" spans="1:18" ht="36.75" customHeight="1">
      <c r="A4" s="3310"/>
      <c r="B4" s="3310"/>
      <c r="C4" s="3311"/>
      <c r="D4" s="3310"/>
      <c r="E4" s="2462" t="s">
        <v>2016</v>
      </c>
      <c r="F4" s="2462" t="s">
        <v>2703</v>
      </c>
      <c r="G4" s="2462" t="s">
        <v>2010</v>
      </c>
      <c r="H4" s="2462" t="s">
        <v>2011</v>
      </c>
      <c r="I4" s="2462" t="s">
        <v>2704</v>
      </c>
      <c r="J4" s="2462" t="s">
        <v>2010</v>
      </c>
      <c r="K4" s="3311"/>
      <c r="L4" s="3311"/>
      <c r="M4" s="3310"/>
      <c r="N4" s="3312"/>
      <c r="O4" s="3310"/>
      <c r="P4" s="3311"/>
      <c r="Q4" s="3311"/>
      <c r="R4" s="3311"/>
    </row>
    <row r="5" spans="1:18" ht="135" customHeight="1">
      <c r="A5" s="1832" t="s">
        <v>2614</v>
      </c>
      <c r="B5" s="2555" t="s">
        <v>2612</v>
      </c>
      <c r="C5" s="2461">
        <v>22</v>
      </c>
      <c r="D5" s="2460" t="s">
        <v>2613</v>
      </c>
      <c r="E5" s="1700">
        <f>项目基本情况!B12</f>
        <v>0</v>
      </c>
      <c r="F5" s="2460">
        <v>258</v>
      </c>
      <c r="G5" s="1700">
        <f>项目基本情况!B13</f>
        <v>0</v>
      </c>
      <c r="H5" s="2460">
        <v>1.5</v>
      </c>
      <c r="I5" s="2460">
        <v>1.5</v>
      </c>
      <c r="J5" s="2460">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34818</v>
      </c>
      <c r="O5" s="1700">
        <f>项目基本情况!C21</f>
        <v>104454</v>
      </c>
      <c r="P5" s="1700">
        <f ca="1">结果表!E42</f>
        <v>9707</v>
      </c>
      <c r="Q5" s="1700">
        <f ca="1">结果表!D42</f>
        <v>3236</v>
      </c>
      <c r="R5" s="1701">
        <f ca="1">结果表!C42</f>
        <v>33798</v>
      </c>
    </row>
    <row r="6" spans="1:18">
      <c r="A6" s="3306" t="str">
        <f>IF(项目基本情况!B9="市场价格","——","抵押价格")</f>
        <v>抵押价格</v>
      </c>
      <c r="B6" s="3307"/>
      <c r="C6" s="3307"/>
      <c r="D6" s="3307"/>
      <c r="E6" s="3307"/>
      <c r="F6" s="3307"/>
      <c r="G6" s="3307"/>
      <c r="H6" s="3307"/>
      <c r="I6" s="3307"/>
      <c r="J6" s="3307"/>
      <c r="K6" s="3307"/>
      <c r="L6" s="3307"/>
      <c r="M6" s="3307"/>
      <c r="N6" s="3307"/>
      <c r="O6" s="3307"/>
      <c r="P6" s="3307"/>
      <c r="Q6" s="3308"/>
      <c r="R6" s="1702" t="str">
        <f>结果表!O39</f>
        <v>——</v>
      </c>
    </row>
    <row r="7" spans="1:18">
      <c r="A7" s="3306" t="str">
        <f>IF(项目基本情况!B9="市场价格","——",IF(项目基本情况!E8="已注销及未注销","抵押担保权已注销时的抵押价格","——"))</f>
        <v>——</v>
      </c>
      <c r="B7" s="3307"/>
      <c r="C7" s="3307"/>
      <c r="D7" s="3307"/>
      <c r="E7" s="3307"/>
      <c r="F7" s="3307"/>
      <c r="G7" s="3307"/>
      <c r="H7" s="3307"/>
      <c r="I7" s="3307"/>
      <c r="J7" s="3307"/>
      <c r="K7" s="3307"/>
      <c r="L7" s="3307"/>
      <c r="M7" s="3307"/>
      <c r="N7" s="3307"/>
      <c r="O7" s="3307"/>
      <c r="P7" s="3307"/>
      <c r="Q7" s="3308"/>
      <c r="R7" s="1702" t="str">
        <f>结果表!O40</f>
        <v>——</v>
      </c>
    </row>
    <row r="8" spans="1:18">
      <c r="A8" s="3306">
        <f>IF(项目基本情况!B9="市场价格","——",项目基本情况!E9)</f>
        <v>0</v>
      </c>
      <c r="B8" s="3307"/>
      <c r="C8" s="3307"/>
      <c r="D8" s="3307"/>
      <c r="E8" s="3307"/>
      <c r="F8" s="3307"/>
      <c r="G8" s="3307"/>
      <c r="H8" s="3307"/>
      <c r="I8" s="3307"/>
      <c r="J8" s="3307"/>
      <c r="K8" s="3307"/>
      <c r="L8" s="3307"/>
      <c r="M8" s="3307"/>
      <c r="N8" s="3307"/>
      <c r="O8" s="3307"/>
      <c r="P8" s="3307"/>
      <c r="Q8" s="3308"/>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314" t="s">
        <v>2039</v>
      </c>
      <c r="B1" s="3314"/>
      <c r="C1" s="3314"/>
      <c r="D1" s="3314"/>
    </row>
    <row r="2" spans="1:4" ht="47.25" customHeight="1">
      <c r="A2" s="3315" t="str">
        <f>"1.权利限制："&amp;项目基本情况!L24&amp;"未设定租赁等其他他项权利。"</f>
        <v>1.权利限制：根据估价对象《不动产权证书》原件、《国有土地使用权》复印件，截至估价期日，估价对象抵押权未见登记。未设定租赁等其他他项权利。</v>
      </c>
      <c r="B2" s="3315"/>
      <c r="C2" s="3315"/>
      <c r="D2" s="3315"/>
    </row>
    <row r="3" spans="1:4" ht="48" customHeight="1">
      <c r="A3" s="33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4"/>
      <c r="C3" s="3314"/>
      <c r="D3" s="3314"/>
    </row>
    <row r="4" spans="1:4" ht="36.75" customHeight="1">
      <c r="A4" s="3314" t="str">
        <f>"3.估价规划限制条件：详见"&amp;项目基本情况!E21&amp;"。"</f>
        <v>3.估价规划限制条件：详见《建设工程规划许可证》[]、《出让合同》[]。</v>
      </c>
      <c r="B4" s="3314"/>
      <c r="C4" s="3314"/>
      <c r="D4" s="3314"/>
    </row>
    <row r="5" spans="1:4">
      <c r="A5" s="3313" t="s">
        <v>2040</v>
      </c>
      <c r="B5" s="3313"/>
      <c r="C5" s="3313"/>
      <c r="D5" s="3313"/>
    </row>
    <row r="6" spans="1:4">
      <c r="A6" s="3314" t="s">
        <v>2018</v>
      </c>
      <c r="B6" s="3314"/>
      <c r="C6" s="3314"/>
      <c r="D6" s="3314"/>
    </row>
    <row r="7" spans="1:4" ht="33" customHeight="1">
      <c r="A7" s="3314" t="s">
        <v>2535</v>
      </c>
      <c r="B7" s="3314"/>
      <c r="C7" s="3314"/>
      <c r="D7" s="3314"/>
    </row>
    <row r="8" spans="1:4" ht="32.25" customHeight="1">
      <c r="A8" s="33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4"/>
      <c r="C8" s="3314"/>
      <c r="D8" s="3314"/>
    </row>
    <row r="9" spans="1:4" ht="33.75" customHeight="1">
      <c r="A9" s="33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4"/>
      <c r="C9" s="3314"/>
      <c r="D9" s="3314"/>
    </row>
    <row r="10" spans="1:4">
      <c r="A10" s="3314" t="str">
        <f>IF(项目基本情况!B8="抵押","4.估价师所知悉的法定优先受偿款情况为：","——")</f>
        <v>4.估价师所知悉的法定优先受偿款情况为：</v>
      </c>
      <c r="B10" s="3314"/>
      <c r="C10" s="3314"/>
      <c r="D10" s="3314"/>
    </row>
    <row r="11" spans="1:4" ht="37.5" customHeight="1">
      <c r="A11" s="33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6"/>
      <c r="C11" s="3316"/>
      <c r="D11" s="3316"/>
    </row>
    <row r="12" spans="1:4" ht="168" customHeight="1">
      <c r="A12" s="3313" t="s">
        <v>2042</v>
      </c>
      <c r="B12" s="3313"/>
      <c r="C12" s="3313"/>
      <c r="D12" s="3313"/>
    </row>
    <row r="13" spans="1:4">
      <c r="A13" s="3317" t="s">
        <v>2705</v>
      </c>
      <c r="B13" s="3317"/>
      <c r="C13" s="3317"/>
      <c r="D13" s="3317"/>
    </row>
    <row r="14" spans="1:4">
      <c r="A14" s="3316" t="str">
        <f>IF(项目基本情况!B8="抵押","综上，"&amp;结果表!K47,"——")</f>
        <v>综上，本次评估不存在估价师知悉的法定优先受偿款</v>
      </c>
      <c r="B14" s="3316"/>
      <c r="C14" s="3316"/>
      <c r="D14" s="3316"/>
    </row>
    <row r="15" spans="1:4" ht="58.5" customHeight="1">
      <c r="A15" s="33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4"/>
      <c r="C15" s="3314"/>
      <c r="D15" s="3314"/>
    </row>
    <row r="16" spans="1:4" ht="70.5" customHeight="1">
      <c r="A16" s="33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4"/>
      <c r="C16" s="3314"/>
      <c r="D16" s="3314"/>
    </row>
    <row r="17" spans="1:4">
      <c r="A17" s="3314" t="s">
        <v>2661</v>
      </c>
      <c r="B17" s="3314"/>
      <c r="C17" s="3314"/>
      <c r="D17" s="3314"/>
    </row>
    <row r="18" spans="1:4">
      <c r="A18" s="3314" t="s">
        <v>2653</v>
      </c>
      <c r="B18" s="3314"/>
      <c r="C18" s="3314"/>
      <c r="D18" s="3314"/>
    </row>
    <row r="19" spans="1:4">
      <c r="A19" s="2556" t="s">
        <v>2654</v>
      </c>
      <c r="B19" s="2556" t="s">
        <v>2655</v>
      </c>
      <c r="C19" s="2556" t="s">
        <v>2656</v>
      </c>
      <c r="D19" s="2556" t="s">
        <v>2657</v>
      </c>
    </row>
    <row r="20" spans="1:4">
      <c r="A20" s="2556" t="str">
        <f>项目基本情况!B4</f>
        <v>王鹏</v>
      </c>
      <c r="B20" s="2556">
        <f ca="1">项目基本情况!C4</f>
        <v>2002110030</v>
      </c>
      <c r="C20" s="2558"/>
      <c r="D20" s="1690" t="s">
        <v>2662</v>
      </c>
    </row>
    <row r="21" spans="1:4">
      <c r="A21" s="2556" t="str">
        <f>项目基本情况!D4</f>
        <v>郑燚</v>
      </c>
      <c r="B21" s="2556">
        <f ca="1">项目基本情况!E4</f>
        <v>2014110011</v>
      </c>
      <c r="C21" s="2558"/>
      <c r="D21" s="1690" t="s">
        <v>2663</v>
      </c>
    </row>
    <row r="23" spans="1:4">
      <c r="A23" s="3314" t="s">
        <v>2658</v>
      </c>
      <c r="B23" s="3314"/>
      <c r="C23" s="3314"/>
      <c r="D23" s="3314"/>
    </row>
    <row r="24" spans="1:4">
      <c r="A24" s="2556" t="s">
        <v>2654</v>
      </c>
      <c r="B24" s="2556" t="s">
        <v>2659</v>
      </c>
      <c r="C24" s="2556" t="s">
        <v>2656</v>
      </c>
      <c r="D24" s="2556" t="s">
        <v>2657</v>
      </c>
    </row>
    <row r="25" spans="1:4">
      <c r="A25" s="2559" t="s">
        <v>2660</v>
      </c>
      <c r="B25" s="2556" t="s">
        <v>932</v>
      </c>
      <c r="C25" s="2558"/>
      <c r="D25" s="1690" t="s">
        <v>2663</v>
      </c>
    </row>
    <row r="29" spans="1:4">
      <c r="D29" s="2557" t="s">
        <v>2013</v>
      </c>
    </row>
    <row r="30" spans="1:4">
      <c r="D30" s="256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325" t="s">
        <v>53</v>
      </c>
      <c r="B15" s="3326" t="s">
        <v>827</v>
      </c>
      <c r="C15" s="3322"/>
    </row>
    <row r="16" spans="1:7" ht="14.25">
      <c r="A16" s="3325"/>
      <c r="B16" s="3323" t="s">
        <v>54</v>
      </c>
      <c r="C16" s="1138" t="s">
        <v>53</v>
      </c>
    </row>
    <row r="17" spans="1:3" ht="14.25">
      <c r="A17" s="3325"/>
      <c r="B17" s="3323"/>
      <c r="C17" s="1138" t="s">
        <v>55</v>
      </c>
    </row>
    <row r="18" spans="1:3" ht="14.25">
      <c r="A18" s="3325"/>
      <c r="B18" s="3323"/>
      <c r="C18" s="1138" t="s">
        <v>56</v>
      </c>
    </row>
    <row r="19" spans="1:3" ht="14.25">
      <c r="A19" s="3325"/>
      <c r="B19" s="3321" t="s">
        <v>57</v>
      </c>
      <c r="C19" s="3322"/>
    </row>
    <row r="20" spans="1:3" ht="14.25">
      <c r="A20" s="1139" t="s">
        <v>58</v>
      </c>
      <c r="B20" s="1140"/>
      <c r="C20" s="1141"/>
    </row>
    <row r="21" spans="1:3" ht="14.25">
      <c r="A21" s="3324" t="s">
        <v>59</v>
      </c>
      <c r="B21" s="3321" t="s">
        <v>60</v>
      </c>
      <c r="C21" s="3322"/>
    </row>
    <row r="22" spans="1:3" ht="14.25">
      <c r="A22" s="3324"/>
      <c r="B22" s="3321" t="s">
        <v>61</v>
      </c>
      <c r="C22" s="3322"/>
    </row>
    <row r="23" spans="1:3" ht="14.25">
      <c r="A23" s="3324"/>
      <c r="B23" s="3321" t="s">
        <v>62</v>
      </c>
      <c r="C23" s="3322"/>
    </row>
    <row r="24" spans="1:3" ht="14.25">
      <c r="A24" s="3324"/>
      <c r="B24" s="3327" t="s">
        <v>63</v>
      </c>
      <c r="C24" s="1142" t="s">
        <v>818</v>
      </c>
    </row>
    <row r="25" spans="1:3" ht="14.25">
      <c r="A25" s="3324"/>
      <c r="B25" s="3328"/>
      <c r="C25" s="1142" t="s">
        <v>819</v>
      </c>
    </row>
    <row r="26" spans="1:3" ht="14.25">
      <c r="A26" s="3324"/>
      <c r="B26" s="3328"/>
      <c r="C26" s="1142" t="s">
        <v>820</v>
      </c>
    </row>
    <row r="27" spans="1:3" ht="14.25">
      <c r="A27" s="3324"/>
      <c r="B27" s="3328"/>
      <c r="C27" s="1142" t="s">
        <v>821</v>
      </c>
    </row>
    <row r="28" spans="1:3" ht="14.25">
      <c r="A28" s="3324"/>
      <c r="B28" s="3328"/>
      <c r="C28" s="1142" t="s">
        <v>822</v>
      </c>
    </row>
    <row r="29" spans="1:3" ht="14.25">
      <c r="A29" s="3324"/>
      <c r="B29" s="3328"/>
      <c r="C29" s="1142" t="s">
        <v>823</v>
      </c>
    </row>
    <row r="30" spans="1:3" ht="14.25">
      <c r="A30" s="3324"/>
      <c r="B30" s="3328"/>
      <c r="C30" s="1142" t="s">
        <v>824</v>
      </c>
    </row>
    <row r="31" spans="1:3" ht="14.25">
      <c r="A31" s="3324"/>
      <c r="B31" s="3328"/>
      <c r="C31" s="1142" t="s">
        <v>825</v>
      </c>
    </row>
    <row r="32" spans="1:3" ht="14.25">
      <c r="A32" s="3324"/>
      <c r="B32" s="3328"/>
      <c r="C32" s="1142" t="s">
        <v>1626</v>
      </c>
    </row>
    <row r="33" spans="1:3" ht="14.25">
      <c r="A33" s="3324"/>
      <c r="B33" s="3318" t="s">
        <v>1632</v>
      </c>
      <c r="C33" s="1142" t="s">
        <v>1627</v>
      </c>
    </row>
    <row r="34" spans="1:3" ht="14.25">
      <c r="A34" s="3324"/>
      <c r="B34" s="3319"/>
      <c r="C34" s="1147" t="s">
        <v>1628</v>
      </c>
    </row>
    <row r="35" spans="1:3" ht="14.25">
      <c r="A35" s="3324"/>
      <c r="B35" s="3319"/>
      <c r="C35" s="1148" t="s">
        <v>1629</v>
      </c>
    </row>
    <row r="36" spans="1:3" ht="14.25">
      <c r="A36" s="3324"/>
      <c r="B36" s="3319"/>
      <c r="C36" s="1148" t="s">
        <v>1630</v>
      </c>
    </row>
    <row r="37" spans="1:3" ht="14.25">
      <c r="A37" s="3324"/>
      <c r="B37" s="3320"/>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98" customWidth="1"/>
    <col min="2" max="2" width="22.75" style="2798" bestFit="1" customWidth="1"/>
    <col min="3" max="3" width="25.75" style="2798" bestFit="1" customWidth="1"/>
    <col min="4" max="4" width="22.625" style="2798"/>
    <col min="5" max="5" width="22.75" style="2798" bestFit="1" customWidth="1"/>
    <col min="6" max="6" width="25.625" style="2798" customWidth="1"/>
    <col min="7" max="16384" width="22.625" style="2798"/>
  </cols>
  <sheetData>
    <row r="1" spans="1:7" ht="20.25" customHeight="1">
      <c r="A1" s="2993"/>
      <c r="B1" s="2993"/>
      <c r="C1" s="2993"/>
      <c r="D1" s="2993"/>
      <c r="E1" s="2993"/>
      <c r="F1" s="2993"/>
      <c r="G1" s="2993"/>
    </row>
    <row r="2" spans="1:7" ht="20.25" customHeight="1">
      <c r="A2" s="2994" t="s">
        <v>1883</v>
      </c>
      <c r="B2" s="2995">
        <f ca="1">TODAY()</f>
        <v>44574</v>
      </c>
      <c r="C2" s="2996" t="s">
        <v>1884</v>
      </c>
      <c r="D2" s="2996"/>
      <c r="E2" s="2993"/>
      <c r="F2" s="2993"/>
      <c r="G2" s="2993"/>
    </row>
    <row r="3" spans="1:7" ht="20.25" customHeight="1">
      <c r="A3" s="3017" t="s">
        <v>1885</v>
      </c>
      <c r="B3" s="2998" t="s">
        <v>1886</v>
      </c>
      <c r="C3" s="2999" t="s">
        <v>1887</v>
      </c>
      <c r="D3" s="3018" t="s">
        <v>1888</v>
      </c>
      <c r="E3" s="2998" t="s">
        <v>1889</v>
      </c>
      <c r="F3" s="2998" t="s">
        <v>1887</v>
      </c>
      <c r="G3" s="2993"/>
    </row>
    <row r="4" spans="1:7" ht="20.25" customHeight="1">
      <c r="A4" s="2998" t="s">
        <v>1890</v>
      </c>
      <c r="B4" s="2998">
        <f ca="1">IF(C4&lt;B2,"已过期",1119970066)</f>
        <v>1119970066</v>
      </c>
      <c r="C4" s="3001">
        <v>44876</v>
      </c>
      <c r="D4" s="3009" t="s">
        <v>1890</v>
      </c>
      <c r="E4" s="2998">
        <f ca="1">IF(F4&lt;B2,"已过期",96010014)</f>
        <v>96010014</v>
      </c>
      <c r="F4" s="3000">
        <v>47118</v>
      </c>
      <c r="G4" s="2993"/>
    </row>
    <row r="5" spans="1:7" ht="20.25" customHeight="1">
      <c r="A5" s="2998" t="s">
        <v>1891</v>
      </c>
      <c r="B5" s="2998">
        <f ca="1">IF(C5&lt;B2,"已过期",1119970111)</f>
        <v>1119970111</v>
      </c>
      <c r="C5" s="3001">
        <v>44876</v>
      </c>
      <c r="D5" s="3009" t="s">
        <v>1891</v>
      </c>
      <c r="E5" s="2998">
        <f ca="1">IF(F5&lt;B2,"已过期",94010078)</f>
        <v>94010078</v>
      </c>
      <c r="F5" s="3000">
        <v>46387</v>
      </c>
      <c r="G5" s="2993"/>
    </row>
    <row r="6" spans="1:7" ht="20.25" customHeight="1">
      <c r="A6" s="2998" t="s">
        <v>1892</v>
      </c>
      <c r="B6" s="2998" t="str">
        <f ca="1">IF(C6&lt;B2,"已过期",1120050019)</f>
        <v>已过期</v>
      </c>
      <c r="C6" s="3001">
        <v>44395</v>
      </c>
      <c r="D6" s="3009" t="s">
        <v>1892</v>
      </c>
      <c r="E6" s="2998">
        <f ca="1">IF(F6&lt;B2,"已过期",2002110030)</f>
        <v>2002110030</v>
      </c>
      <c r="F6" s="3000">
        <v>46387</v>
      </c>
      <c r="G6" s="2993"/>
    </row>
    <row r="7" spans="1:7" ht="20.25" customHeight="1">
      <c r="A7" s="2998" t="s">
        <v>1893</v>
      </c>
      <c r="B7" s="2998">
        <f ca="1">IF(C7&lt;B2,"已过期",1120000080)</f>
        <v>1120000080</v>
      </c>
      <c r="C7" s="3001">
        <v>44876</v>
      </c>
      <c r="D7" s="3009" t="s">
        <v>1893</v>
      </c>
      <c r="E7" s="2998">
        <f ca="1">IF(F7&lt;B2,"已过期",2000110082)</f>
        <v>2000110082</v>
      </c>
      <c r="F7" s="3000">
        <v>46387</v>
      </c>
      <c r="G7" s="2993"/>
    </row>
    <row r="8" spans="1:7" ht="20.25" customHeight="1">
      <c r="A8" s="2998" t="s">
        <v>1894</v>
      </c>
      <c r="B8" s="2998">
        <f ca="1">IF(C8&lt;B2,"已过期",1419970001)</f>
        <v>1419970001</v>
      </c>
      <c r="C8" s="3001">
        <v>44899</v>
      </c>
      <c r="D8" s="3009" t="s">
        <v>1894</v>
      </c>
      <c r="E8" s="2998">
        <f ca="1">IF(F8&lt;B2,"已过期",2002110125)</f>
        <v>2002110125</v>
      </c>
      <c r="F8" s="3000">
        <v>47118</v>
      </c>
      <c r="G8" s="2993"/>
    </row>
    <row r="9" spans="1:7" ht="20.25" customHeight="1">
      <c r="A9" s="2998" t="s">
        <v>1895</v>
      </c>
      <c r="B9" s="2998" t="str">
        <f ca="1">IF(C9&lt;B2,"已过期",1120060040)</f>
        <v>已过期</v>
      </c>
      <c r="C9" s="3001">
        <v>44554</v>
      </c>
      <c r="D9" s="3009" t="s">
        <v>1895</v>
      </c>
      <c r="E9" s="2998">
        <f ca="1">IF(F9&lt;B2,"已过期",2004110096)</f>
        <v>2004110096</v>
      </c>
      <c r="F9" s="3000">
        <v>47118</v>
      </c>
      <c r="G9" s="2993"/>
    </row>
    <row r="10" spans="1:7" ht="20.25" customHeight="1">
      <c r="A10" s="2998" t="s">
        <v>1896</v>
      </c>
      <c r="B10" s="2998">
        <f ca="1">IF(C10&lt;B2,"已过期",1120100036)</f>
        <v>1120100036</v>
      </c>
      <c r="C10" s="3001">
        <v>44675</v>
      </c>
      <c r="D10" s="3009" t="s">
        <v>1896</v>
      </c>
      <c r="E10" s="2998">
        <f ca="1">IF(F10&lt;B2,"已过期",2010110070)</f>
        <v>2010110070</v>
      </c>
      <c r="F10" s="3000">
        <v>47907</v>
      </c>
      <c r="G10" s="2993"/>
    </row>
    <row r="11" spans="1:7" ht="20.25" customHeight="1">
      <c r="A11" s="2998" t="s">
        <v>1897</v>
      </c>
      <c r="B11" s="2998">
        <f ca="1">IF(C11&lt;B2,"已过期",1120070131)</f>
        <v>1120070131</v>
      </c>
      <c r="C11" s="3001">
        <v>44849</v>
      </c>
      <c r="D11" s="3009" t="s">
        <v>1897</v>
      </c>
      <c r="E11" s="2998">
        <f ca="1">IF(F11&lt;B2,"已过期",2014110011)</f>
        <v>2014110011</v>
      </c>
      <c r="F11" s="3000">
        <v>49302</v>
      </c>
      <c r="G11" s="2993"/>
    </row>
    <row r="12" spans="1:7" ht="20.25" customHeight="1">
      <c r="A12" s="2998" t="s">
        <v>2921</v>
      </c>
      <c r="B12" s="2998">
        <f ca="1">IF(C12&lt;B2,"已过期",1120040230)</f>
        <v>1120040230</v>
      </c>
      <c r="C12" s="3001">
        <v>44864</v>
      </c>
      <c r="D12" s="3009" t="s">
        <v>2922</v>
      </c>
      <c r="E12" s="2998">
        <f ca="1">IF(F12&lt;B2,"已过期",98030020)</f>
        <v>98030020</v>
      </c>
      <c r="F12" s="3000">
        <v>47118</v>
      </c>
      <c r="G12" s="2993"/>
    </row>
    <row r="13" spans="1:7" ht="20.25" customHeight="1">
      <c r="A13" s="2998"/>
      <c r="B13" s="2998"/>
      <c r="C13" s="3001"/>
      <c r="D13" s="3009" t="s">
        <v>1898</v>
      </c>
      <c r="E13" s="2998">
        <f ca="1">IF(F13&lt;B2,"已过期",2011110090)</f>
        <v>2011110090</v>
      </c>
      <c r="F13" s="3000">
        <v>48302</v>
      </c>
      <c r="G13" s="2993"/>
    </row>
    <row r="14" spans="1:7" ht="20.25" customHeight="1">
      <c r="A14" s="2998" t="s">
        <v>1899</v>
      </c>
      <c r="B14" s="2998" t="str">
        <f ca="1">IF(C14&lt;B2,"已过期",1120020033)</f>
        <v>已过期</v>
      </c>
      <c r="C14" s="3001">
        <v>44339</v>
      </c>
      <c r="D14" s="3009" t="s">
        <v>1899</v>
      </c>
      <c r="E14" s="2998">
        <f ca="1">IF(F14&lt;B2,"已过期",2000110137)</f>
        <v>2000110137</v>
      </c>
      <c r="F14" s="3000">
        <v>46387</v>
      </c>
      <c r="G14" s="2993"/>
    </row>
    <row r="15" spans="1:7" ht="20.25" customHeight="1">
      <c r="A15" s="2998" t="s">
        <v>2935</v>
      </c>
      <c r="B15" s="2998" t="str">
        <f ca="1">IF(C14&lt;B2,"已过期",1119980106)</f>
        <v>已过期</v>
      </c>
      <c r="C15" s="3001">
        <v>44969</v>
      </c>
      <c r="D15" s="3009"/>
      <c r="E15" s="2998"/>
      <c r="F15" s="2998"/>
      <c r="G15" s="2993"/>
    </row>
    <row r="16" spans="1:7" s="2799" customFormat="1" ht="20.25" customHeight="1">
      <c r="A16" s="2997" t="s">
        <v>2027</v>
      </c>
      <c r="B16" s="2997" t="s">
        <v>2027</v>
      </c>
      <c r="C16" s="3001"/>
      <c r="D16" s="3010" t="s">
        <v>2027</v>
      </c>
      <c r="E16" s="2998" t="s">
        <v>2027</v>
      </c>
      <c r="F16" s="3000"/>
      <c r="G16" s="3002"/>
    </row>
    <row r="17" spans="1:7" ht="20.25" customHeight="1">
      <c r="A17" s="3332" t="s">
        <v>1900</v>
      </c>
      <c r="B17" s="3333"/>
      <c r="C17" s="3333"/>
      <c r="D17" s="3333"/>
      <c r="E17" s="3333"/>
      <c r="F17" s="3333"/>
      <c r="G17" s="3002"/>
    </row>
    <row r="18" spans="1:7" ht="20.25" customHeight="1">
      <c r="A18" s="3329" t="s">
        <v>1901</v>
      </c>
      <c r="B18" s="3329"/>
      <c r="C18" s="3330"/>
      <c r="D18" s="3331" t="s">
        <v>1902</v>
      </c>
      <c r="E18" s="3329"/>
      <c r="F18" s="3329"/>
      <c r="G18" s="3002"/>
    </row>
    <row r="19" spans="1:7" s="2797" customFormat="1" ht="20.25" customHeight="1">
      <c r="A19" s="3003" t="s">
        <v>1903</v>
      </c>
      <c r="B19" s="3004" t="s">
        <v>1904</v>
      </c>
      <c r="C19" s="3011" t="s">
        <v>1905</v>
      </c>
      <c r="D19" s="3009" t="s">
        <v>1903</v>
      </c>
      <c r="E19" s="3004" t="s">
        <v>1904</v>
      </c>
      <c r="F19" s="3004" t="s">
        <v>1905</v>
      </c>
      <c r="G19" s="2994"/>
    </row>
    <row r="20" spans="1:7" s="2797" customFormat="1" ht="20.25" customHeight="1">
      <c r="A20" s="3005" t="s">
        <v>1906</v>
      </c>
      <c r="B20" s="3005" t="s">
        <v>1907</v>
      </c>
      <c r="C20" s="3012">
        <v>44820</v>
      </c>
      <c r="D20" s="3014" t="s">
        <v>1908</v>
      </c>
      <c r="E20" s="3005" t="s">
        <v>1909</v>
      </c>
      <c r="F20" s="3006">
        <v>44377</v>
      </c>
      <c r="G20" s="2994"/>
    </row>
    <row r="21" spans="1:7" s="2797" customFormat="1" ht="20.25" customHeight="1">
      <c r="A21" s="3005"/>
      <c r="B21" s="3005"/>
      <c r="C21" s="3013"/>
      <c r="D21" s="3014" t="s">
        <v>1910</v>
      </c>
      <c r="E21" s="3005" t="s">
        <v>2934</v>
      </c>
      <c r="F21" s="3006">
        <v>44012</v>
      </c>
      <c r="G21" s="2994"/>
    </row>
    <row r="22" spans="1:7" ht="20.25" customHeight="1">
      <c r="A22" s="2993"/>
      <c r="B22" s="2993"/>
      <c r="C22" s="3007"/>
      <c r="D22" s="3015"/>
      <c r="E22" s="3016"/>
      <c r="F22" s="3008" t="s">
        <v>2948</v>
      </c>
      <c r="G22" s="299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404" t="s">
        <v>2506</v>
      </c>
      <c r="R1" s="2403" t="s">
        <v>2500</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2501</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2502</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2503</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2504</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2505</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60" t="s">
        <v>2897</v>
      </c>
      <c r="C18" s="1468"/>
    </row>
    <row r="19" spans="1:3">
      <c r="A19" s="8" t="s">
        <v>120</v>
      </c>
      <c r="B19" s="2760" t="s">
        <v>2904</v>
      </c>
      <c r="C19" s="1468"/>
    </row>
    <row r="20" spans="1:3">
      <c r="A20" s="8" t="s">
        <v>121</v>
      </c>
      <c r="B20" s="2760" t="s">
        <v>2949</v>
      </c>
      <c r="C20" s="1468"/>
    </row>
    <row r="21" spans="1:3">
      <c r="A21" s="8" t="s">
        <v>122</v>
      </c>
      <c r="B21" s="8" t="s">
        <v>1621</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334"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13日，在规划利用条件下、设定土地开发程度为红线外“七通”、宗地内场地，设定用途为，剩余土地使用年限为的出让国有建设用地使用权价格。</v>
      </c>
      <c r="D53" s="1660"/>
      <c r="E53" s="1660"/>
    </row>
    <row r="54" spans="1:5">
      <c r="A54" s="3334"/>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334"/>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334"/>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334"/>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2022-01-13T09:15:57Z</dcterms:modified>
</cp:coreProperties>
</file>