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朝阳区成寿寺路136号院7号楼1层101\"/>
    </mc:Choice>
  </mc:AlternateContent>
  <xr:revisionPtr revIDLastSave="0" documentId="13_ncr:1_{945793C7-F30C-45D0-AE5D-028416AD40B8}" xr6:coauthVersionLast="47" xr6:coauthVersionMax="47" xr10:uidLastSave="{00000000-0000-0000-0000-000000000000}"/>
  <bookViews>
    <workbookView xWindow="-120" yWindow="-120" windowWidth="21840" windowHeight="131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租金"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比较法-商业" sheetId="33" r:id="rId24"/>
    <sheet name="案例" sheetId="81"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28" i="80" l="1"/>
  <c r="B14" i="74"/>
  <c r="I36" i="33"/>
  <c r="C33" i="33"/>
  <c r="G36" i="33"/>
  <c r="E36" i="33"/>
  <c r="C36" i="33"/>
  <c r="N6" i="1"/>
  <c r="Q36" i="81"/>
  <c r="P34" i="81"/>
  <c r="O34" i="81"/>
  <c r="O33" i="81"/>
  <c r="O32" i="81"/>
  <c r="I7" i="33"/>
  <c r="G7" i="33"/>
  <c r="E7" i="33"/>
  <c r="D33" i="43"/>
  <c r="U2" i="43"/>
  <c r="F19" i="6" l="1"/>
  <c r="Y6" i="1"/>
  <c r="C19" i="6"/>
  <c r="C60" i="78"/>
  <c r="D60" i="78" s="1"/>
  <c r="D53" i="78"/>
  <c r="D52" i="78"/>
  <c r="D51" i="78" s="1"/>
  <c r="B51" i="78"/>
  <c r="B56" i="78" s="1"/>
  <c r="G19" i="6" l="1"/>
  <c r="B55" i="78"/>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44" i="79" l="1"/>
  <c r="AD45" i="79"/>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s="1"/>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AB32" i="71" s="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U68" i="71"/>
  <c r="E67" i="71"/>
  <c r="E66" i="71" s="1"/>
  <c r="Q28" i="71"/>
  <c r="C63" i="71"/>
  <c r="C64" i="71" s="1"/>
  <c r="D62" i="71"/>
  <c r="T68" i="71"/>
  <c r="O68" i="71"/>
  <c r="D68" i="71"/>
  <c r="C67" i="71"/>
  <c r="D67" i="71" s="1"/>
  <c r="Q68" i="71"/>
  <c r="E71" i="71"/>
  <c r="E70" i="71"/>
  <c r="C75" i="71"/>
  <c r="D76" i="71"/>
  <c r="F28" i="71"/>
  <c r="F27" i="71"/>
  <c r="F26" i="71"/>
  <c r="D63" i="71"/>
  <c r="D75" i="71"/>
  <c r="C74" i="71"/>
  <c r="D74"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J29" i="39"/>
  <c r="J18" i="36"/>
  <c r="AC18" i="36" s="1"/>
  <c r="H18" i="35"/>
  <c r="AB18" i="35" s="1"/>
  <c r="J18" i="35"/>
  <c r="H21" i="37"/>
  <c r="F21" i="37"/>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C5" i="3" s="1"/>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S5" i="3" s="1"/>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G499" i="3" s="1"/>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G507" i="3" s="1"/>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G520" i="3" s="1"/>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A532" i="3" s="1"/>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G535" i="3" s="1"/>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G543" i="3" s="1"/>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AZ546"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D79" i="37"/>
  <c r="E79" i="37" s="1"/>
  <c r="F79" i="37" s="1"/>
  <c r="G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U34" i="36" s="1"/>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J29" i="33" s="1"/>
  <c r="B74" i="33"/>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B98" i="21"/>
  <c r="B96" i="21"/>
  <c r="B94" i="21"/>
  <c r="J29" i="21"/>
  <c r="AC29" i="21" s="1"/>
  <c r="B92" i="21"/>
  <c r="B90" i="21"/>
  <c r="J27" i="21" s="1"/>
  <c r="W27" i="21" s="1"/>
  <c r="B74" i="2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U36" i="39" s="1"/>
  <c r="J35" i="39"/>
  <c r="AC35" i="39" s="1"/>
  <c r="F35" i="39"/>
  <c r="AA35" i="39"/>
  <c r="J36" i="39"/>
  <c r="AC36" i="39" s="1"/>
  <c r="W25" i="37"/>
  <c r="U30" i="37"/>
  <c r="W31"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c r="F26" i="33"/>
  <c r="U35" i="33"/>
  <c r="S40" i="33"/>
  <c r="W39" i="33"/>
  <c r="H39" i="37"/>
  <c r="AB39" i="37" s="1"/>
  <c r="F11" i="40"/>
  <c r="AA11" i="40"/>
  <c r="H11" i="40"/>
  <c r="AB11" i="40" s="1"/>
  <c r="W8" i="40"/>
  <c r="AA9" i="40"/>
  <c r="U9" i="40"/>
  <c r="U38" i="40"/>
  <c r="W31" i="40"/>
  <c r="F42" i="39"/>
  <c r="AA42" i="39" s="1"/>
  <c r="F41" i="39"/>
  <c r="S41" i="39" s="1"/>
  <c r="H40" i="39"/>
  <c r="AB40" i="39" s="1"/>
  <c r="H39" i="39"/>
  <c r="U39" i="39" s="1"/>
  <c r="S38" i="39"/>
  <c r="S34" i="39"/>
  <c r="H34" i="39"/>
  <c r="U34" i="39" s="1"/>
  <c r="F31" i="39"/>
  <c r="AA31" i="39" s="1"/>
  <c r="E100" i="39"/>
  <c r="H19" i="39"/>
  <c r="AB19" i="39" s="1"/>
  <c r="F19" i="39"/>
  <c r="AA19" i="39" s="1"/>
  <c r="H17" i="39"/>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B12" i="35"/>
  <c r="AB12" i="36"/>
  <c r="S44" i="39"/>
  <c r="J34" i="36"/>
  <c r="W34" i="36" s="1"/>
  <c r="U30" i="36"/>
  <c r="J30" i="35"/>
  <c r="W30" i="35" s="1"/>
  <c r="H30" i="35"/>
  <c r="AB30" i="35" s="1"/>
  <c r="F22" i="35"/>
  <c r="AA22" i="35"/>
  <c r="H10" i="35"/>
  <c r="U10" i="35" s="1"/>
  <c r="W30" i="36"/>
  <c r="H16" i="36"/>
  <c r="AB16" i="36" s="1"/>
  <c r="E85" i="36"/>
  <c r="F85" i="36"/>
  <c r="G85" i="36" s="1"/>
  <c r="H85" i="36" s="1"/>
  <c r="I85" i="36" s="1"/>
  <c r="J85" i="36" s="1"/>
  <c r="K85" i="36" s="1"/>
  <c r="L85" i="36" s="1"/>
  <c r="M85" i="36" s="1"/>
  <c r="J29" i="36"/>
  <c r="AC29" i="36" s="1"/>
  <c r="F12" i="36"/>
  <c r="S12" i="36" s="1"/>
  <c r="F24" i="36"/>
  <c r="AA24" i="36" s="1"/>
  <c r="F34" i="36"/>
  <c r="S34" i="36" s="1"/>
  <c r="F14" i="35"/>
  <c r="S14" i="35" s="1"/>
  <c r="AA14" i="35"/>
  <c r="F23" i="35"/>
  <c r="AA23" i="35" s="1"/>
  <c r="J32" i="35"/>
  <c r="AC32" i="35" s="1"/>
  <c r="J16" i="35"/>
  <c r="W16" i="35" s="1"/>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S35" i="34"/>
  <c r="F28" i="34"/>
  <c r="AA28" i="34" s="1"/>
  <c r="F25" i="34"/>
  <c r="S25" i="34" s="1"/>
  <c r="H23" i="34"/>
  <c r="J23" i="34"/>
  <c r="F19" i="34"/>
  <c r="H17" i="34"/>
  <c r="F15" i="34"/>
  <c r="AA15" i="34" s="1"/>
  <c r="J15" i="34"/>
  <c r="H15" i="34"/>
  <c r="AB15" i="34" s="1"/>
  <c r="J28" i="34"/>
  <c r="AC28" i="34" s="1"/>
  <c r="W28" i="34"/>
  <c r="F41" i="33"/>
  <c r="AA41" i="33" s="1"/>
  <c r="S38" i="33"/>
  <c r="E113" i="33"/>
  <c r="F113" i="33" s="1"/>
  <c r="G113" i="33" s="1"/>
  <c r="H113" i="33" s="1"/>
  <c r="I113" i="33" s="1"/>
  <c r="J113" i="33" s="1"/>
  <c r="K113" i="33" s="1"/>
  <c r="F32" i="33"/>
  <c r="AA32" i="33" s="1"/>
  <c r="J19" i="33"/>
  <c r="W19" i="33" s="1"/>
  <c r="J15" i="33"/>
  <c r="AC15" i="33" s="1"/>
  <c r="F11" i="33"/>
  <c r="AA11" i="33" s="1"/>
  <c r="U40" i="33"/>
  <c r="F37" i="40"/>
  <c r="AA37" i="40" s="1"/>
  <c r="F36" i="40"/>
  <c r="AA36" i="40" s="1"/>
  <c r="H28" i="40"/>
  <c r="U28" i="40"/>
  <c r="F23" i="40"/>
  <c r="AA23" i="40" s="1"/>
  <c r="F17" i="40"/>
  <c r="AA17" i="40" s="1"/>
  <c r="J17" i="40"/>
  <c r="W17" i="40"/>
  <c r="F15" i="40"/>
  <c r="S15" i="40" s="1"/>
  <c r="H15" i="40"/>
  <c r="AB15" i="40"/>
  <c r="AC11" i="40"/>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S41" i="33"/>
  <c r="L113" i="33"/>
  <c r="M113" i="33" s="1"/>
  <c r="H37" i="33"/>
  <c r="AB37" i="33" s="1"/>
  <c r="H15" i="33"/>
  <c r="AB15" i="33" s="1"/>
  <c r="H11" i="33"/>
  <c r="F28" i="40"/>
  <c r="AA28" i="40" s="1"/>
  <c r="AA42" i="34"/>
  <c r="S42" i="34"/>
  <c r="AC38" i="34"/>
  <c r="J37" i="34"/>
  <c r="AC37" i="34" s="1"/>
  <c r="J11" i="33"/>
  <c r="W11" i="33" s="1"/>
  <c r="S28" i="34"/>
  <c r="M123" i="21"/>
  <c r="J42" i="21"/>
  <c r="AC42" i="2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F44" i="21"/>
  <c r="AA44" i="21" s="1"/>
  <c r="U46" i="21"/>
  <c r="J46" i="21"/>
  <c r="F46" i="21"/>
  <c r="AA46" i="21"/>
  <c r="E119" i="21"/>
  <c r="F119" i="21" s="1"/>
  <c r="G119" i="21" s="1"/>
  <c r="H119" i="21" s="1"/>
  <c r="I119" i="21" s="1"/>
  <c r="J119" i="21" s="1"/>
  <c r="K119" i="21" s="1"/>
  <c r="L119" i="21" s="1"/>
  <c r="M119" i="21" s="1"/>
  <c r="H26" i="33"/>
  <c r="U26" i="33" s="1"/>
  <c r="H28" i="33"/>
  <c r="AB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H29" i="21"/>
  <c r="U29" i="21"/>
  <c r="J31" i="21"/>
  <c r="AC31" i="21" s="1"/>
  <c r="F45" i="21"/>
  <c r="AA45" i="21" s="1"/>
  <c r="F27" i="33"/>
  <c r="AA27" i="33" s="1"/>
  <c r="J13" i="33"/>
  <c r="H13" i="33"/>
  <c r="U13" i="33" s="1"/>
  <c r="F13" i="33"/>
  <c r="H29" i="33"/>
  <c r="AB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J29" i="37"/>
  <c r="W29" i="37" s="1"/>
  <c r="F29" i="37"/>
  <c r="AA29" i="37" s="1"/>
  <c r="H36" i="37"/>
  <c r="AB36" i="37"/>
  <c r="F107" i="37"/>
  <c r="J37" i="37"/>
  <c r="AC37" i="37" s="1"/>
  <c r="H37" i="37"/>
  <c r="U37" i="37"/>
  <c r="H40" i="37"/>
  <c r="U40" i="37" s="1"/>
  <c r="J40" i="37"/>
  <c r="AC40" i="37"/>
  <c r="F40" i="37"/>
  <c r="AA40" i="37" s="1"/>
  <c r="AC12" i="40"/>
  <c r="H14" i="33"/>
  <c r="U14" i="33" s="1"/>
  <c r="F14" i="33"/>
  <c r="S14" i="33" s="1"/>
  <c r="J14" i="33"/>
  <c r="H30" i="33"/>
  <c r="AB30" i="33" s="1"/>
  <c r="F30" i="33"/>
  <c r="S30" i="33" s="1"/>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F35" i="35"/>
  <c r="AA35" i="35"/>
  <c r="J25" i="36"/>
  <c r="W25" i="36"/>
  <c r="F25" i="36"/>
  <c r="S25" i="36" s="1"/>
  <c r="H25" i="36"/>
  <c r="AB25" i="36"/>
  <c r="H13" i="37"/>
  <c r="F13" i="37"/>
  <c r="S13" i="37" s="1"/>
  <c r="J13" i="37"/>
  <c r="W13" i="37" s="1"/>
  <c r="F28" i="37"/>
  <c r="AA28" i="37" s="1"/>
  <c r="J28" i="37"/>
  <c r="H38" i="37"/>
  <c r="AB38" i="37"/>
  <c r="F43" i="39"/>
  <c r="AA43" i="39" s="1"/>
  <c r="J14" i="39"/>
  <c r="AC14" i="39" s="1"/>
  <c r="F14" i="39"/>
  <c r="H14" i="39"/>
  <c r="AB14" i="39" s="1"/>
  <c r="F12" i="40"/>
  <c r="S12" i="40"/>
  <c r="H12" i="40"/>
  <c r="H30" i="40"/>
  <c r="AB30" i="40"/>
  <c r="F33" i="40"/>
  <c r="AA33" i="40" s="1"/>
  <c r="H33" i="40"/>
  <c r="U33" i="40"/>
  <c r="J35" i="40"/>
  <c r="J37" i="40"/>
  <c r="AC37" i="40"/>
  <c r="H13" i="40"/>
  <c r="U13" i="40" s="1"/>
  <c r="J13" i="40"/>
  <c r="W13" i="40"/>
  <c r="F13" i="40"/>
  <c r="AA13" i="40" s="1"/>
  <c r="F14" i="37"/>
  <c r="AA14" i="37" s="1"/>
  <c r="S14" i="37"/>
  <c r="F27" i="37"/>
  <c r="AA27" i="37" s="1"/>
  <c r="F13" i="39"/>
  <c r="J13" i="39"/>
  <c r="W13" i="39" s="1"/>
  <c r="H13" i="39"/>
  <c r="AB13" i="39" s="1"/>
  <c r="H14" i="40"/>
  <c r="AB14" i="40"/>
  <c r="J14" i="40"/>
  <c r="W14" i="40" s="1"/>
  <c r="F14" i="40"/>
  <c r="J14" i="37"/>
  <c r="J27" i="37"/>
  <c r="AC27" i="37" s="1"/>
  <c r="AA44" i="33"/>
  <c r="U46" i="33"/>
  <c r="AA14" i="33"/>
  <c r="J36" i="37"/>
  <c r="AC36" i="37" s="1"/>
  <c r="J10" i="36"/>
  <c r="AC10" i="36" s="1"/>
  <c r="AB30" i="21"/>
  <c r="S11" i="36"/>
  <c r="AB46" i="34"/>
  <c r="S45" i="33"/>
  <c r="AB45" i="33"/>
  <c r="AC28" i="21"/>
  <c r="S44" i="34"/>
  <c r="BA586" i="3"/>
  <c r="BA585" i="3"/>
  <c r="F17" i="21"/>
  <c r="AA17" i="21" s="1"/>
  <c r="H17" i="21"/>
  <c r="AB17" i="21" s="1"/>
  <c r="F15" i="21"/>
  <c r="S15" i="21" s="1"/>
  <c r="J41" i="39"/>
  <c r="W41" i="39" s="1"/>
  <c r="W44" i="39"/>
  <c r="S35" i="39"/>
  <c r="G544" i="3"/>
  <c r="G536" i="3"/>
  <c r="G532" i="3"/>
  <c r="G528" i="3"/>
  <c r="G518" i="3"/>
  <c r="G514" i="3"/>
  <c r="G508" i="3"/>
  <c r="G500" i="3"/>
  <c r="G584" i="3"/>
  <c r="G580" i="3"/>
  <c r="G576" i="3"/>
  <c r="G572" i="3"/>
  <c r="G568" i="3"/>
  <c r="G564" i="3"/>
  <c r="G560" i="3"/>
  <c r="G554" i="3"/>
  <c r="G550" i="3"/>
  <c r="BL584" i="3"/>
  <c r="AZ584" i="3" s="1"/>
  <c r="BL580" i="3"/>
  <c r="BL576" i="3"/>
  <c r="BL572" i="3"/>
  <c r="BL568" i="3"/>
  <c r="BL546" i="3"/>
  <c r="BL512" i="3"/>
  <c r="BL582" i="3"/>
  <c r="BL578" i="3"/>
  <c r="BL574" i="3"/>
  <c r="BL570" i="3"/>
  <c r="BL566" i="3"/>
  <c r="BL556" i="3"/>
  <c r="G529" i="3"/>
  <c r="BL510" i="3"/>
  <c r="G493" i="3"/>
  <c r="BA584" i="3"/>
  <c r="BA582" i="3"/>
  <c r="AZ582" i="3" s="1"/>
  <c r="BA580" i="3"/>
  <c r="AZ580" i="3" s="1"/>
  <c r="BA578" i="3"/>
  <c r="BA576" i="3"/>
  <c r="BA574" i="3"/>
  <c r="BA572" i="3"/>
  <c r="AZ572" i="3" s="1"/>
  <c r="BA570" i="3"/>
  <c r="AZ570" i="3" s="1"/>
  <c r="BA568" i="3"/>
  <c r="BA566" i="3"/>
  <c r="AZ566" i="3" s="1"/>
  <c r="BA564" i="3"/>
  <c r="AZ564" i="3" s="1"/>
  <c r="BA562" i="3"/>
  <c r="AZ558" i="3"/>
  <c r="BA556" i="3"/>
  <c r="AZ556" i="3" s="1"/>
  <c r="BA544" i="3"/>
  <c r="BA524" i="3"/>
  <c r="BA510" i="3"/>
  <c r="AZ510" i="3" s="1"/>
  <c r="BA498" i="3"/>
  <c r="BA587" i="3"/>
  <c r="BA583" i="3"/>
  <c r="BA581" i="3"/>
  <c r="BA579" i="3"/>
  <c r="BA577" i="3"/>
  <c r="BA575" i="3"/>
  <c r="BA573" i="3"/>
  <c r="BA571" i="3"/>
  <c r="BA569" i="3"/>
  <c r="BA567" i="3"/>
  <c r="BA565" i="3"/>
  <c r="AZ565" i="3" s="1"/>
  <c r="BA563" i="3"/>
  <c r="BA545" i="3"/>
  <c r="BA529" i="3"/>
  <c r="BA511" i="3"/>
  <c r="BA493" i="3"/>
  <c r="AZ560" i="3"/>
  <c r="G583" i="3"/>
  <c r="G581" i="3"/>
  <c r="G579" i="3"/>
  <c r="G577" i="3"/>
  <c r="G575" i="3"/>
  <c r="G573" i="3"/>
  <c r="G571" i="3"/>
  <c r="G569" i="3"/>
  <c r="G567" i="3"/>
  <c r="G563" i="3"/>
  <c r="G561"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Q561" i="3"/>
  <c r="BL561" i="3"/>
  <c r="AZ561" i="3" s="1"/>
  <c r="BQ559" i="3"/>
  <c r="G559" i="3"/>
  <c r="G555" i="3"/>
  <c r="G547" i="3"/>
  <c r="G545" i="3"/>
  <c r="G537" i="3"/>
  <c r="BQ555" i="3"/>
  <c r="BQ553" i="3"/>
  <c r="BQ551" i="3"/>
  <c r="BQ549" i="3"/>
  <c r="BQ547" i="3"/>
  <c r="BQ545" i="3"/>
  <c r="BQ543" i="3"/>
  <c r="BQ541" i="3"/>
  <c r="BQ539" i="3"/>
  <c r="BQ537" i="3"/>
  <c r="BQ535" i="3"/>
  <c r="BQ533" i="3"/>
  <c r="BQ531" i="3"/>
  <c r="BQ529" i="3"/>
  <c r="BQ527" i="3"/>
  <c r="BQ525" i="3"/>
  <c r="BL525" i="3"/>
  <c r="BQ523" i="3"/>
  <c r="AC521" i="3"/>
  <c r="G521" i="3"/>
  <c r="BQ521" i="3"/>
  <c r="G515" i="3"/>
  <c r="G513" i="3"/>
  <c r="BQ519" i="3"/>
  <c r="BQ517" i="3"/>
  <c r="BL517" i="3"/>
  <c r="BQ515" i="3"/>
  <c r="BQ513" i="3"/>
  <c r="BQ511" i="3"/>
  <c r="BA509" i="3"/>
  <c r="AC509" i="3"/>
  <c r="BQ509" i="3"/>
  <c r="BL508" i="3"/>
  <c r="G501" i="3"/>
  <c r="G497" i="3"/>
  <c r="BQ507" i="3"/>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H32" i="40"/>
  <c r="AB32" i="40" s="1"/>
  <c r="J36" i="40"/>
  <c r="W36" i="40"/>
  <c r="H19" i="37"/>
  <c r="AB19" i="37" s="1"/>
  <c r="H42" i="33"/>
  <c r="AB42" i="33" s="1"/>
  <c r="J43" i="33"/>
  <c r="AC43" i="33" s="1"/>
  <c r="S28" i="31"/>
  <c r="S27" i="31"/>
  <c r="S26" i="31"/>
  <c r="U14" i="40"/>
  <c r="W23" i="35"/>
  <c r="U39" i="37"/>
  <c r="U26" i="37"/>
  <c r="W47" i="34"/>
  <c r="AC36" i="34"/>
  <c r="AC31" i="33"/>
  <c r="AC45" i="33"/>
  <c r="U19" i="21"/>
  <c r="F43" i="33"/>
  <c r="AA43" i="33"/>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s="1"/>
  <c r="J15" i="37"/>
  <c r="W15" i="37"/>
  <c r="AT6" i="3"/>
  <c r="H19" i="40"/>
  <c r="U19" i="40" s="1"/>
  <c r="F88" i="40"/>
  <c r="G88" i="40" s="1"/>
  <c r="F19" i="40"/>
  <c r="S19" i="40" s="1"/>
  <c r="AC13" i="40"/>
  <c r="AB3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AZ179" i="3" s="1"/>
  <c r="BL180" i="3"/>
  <c r="G181" i="3"/>
  <c r="BA183" i="3"/>
  <c r="BL184" i="3"/>
  <c r="AZ184" i="3" s="1"/>
  <c r="G185" i="3"/>
  <c r="BA187" i="3"/>
  <c r="AZ187" i="3" s="1"/>
  <c r="BL188" i="3"/>
  <c r="AZ188" i="3" s="1"/>
  <c r="G189" i="3"/>
  <c r="BA191" i="3"/>
  <c r="BL192" i="3"/>
  <c r="G193" i="3"/>
  <c r="BA195" i="3"/>
  <c r="BL196" i="3"/>
  <c r="G197" i="3"/>
  <c r="BA199" i="3"/>
  <c r="BL200" i="3"/>
  <c r="G201" i="3"/>
  <c r="BA203" i="3"/>
  <c r="AZ203" i="3" s="1"/>
  <c r="BL204" i="3"/>
  <c r="AZ204" i="3" s="1"/>
  <c r="AZ168" i="3"/>
  <c r="AZ120" i="3"/>
  <c r="G534" i="3"/>
  <c r="G512" i="3"/>
  <c r="G506" i="3"/>
  <c r="G498"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BL362" i="3"/>
  <c r="AZ362" i="3" s="1"/>
  <c r="G363" i="3"/>
  <c r="BA365" i="3"/>
  <c r="AZ365" i="3" s="1"/>
  <c r="BL366" i="3"/>
  <c r="G367" i="3"/>
  <c r="BA369" i="3"/>
  <c r="AZ369" i="3" s="1"/>
  <c r="BL370" i="3"/>
  <c r="G371" i="3"/>
  <c r="BA373" i="3"/>
  <c r="AZ373" i="3" s="1"/>
  <c r="BL374" i="3"/>
  <c r="AZ374" i="3" s="1"/>
  <c r="G375" i="3"/>
  <c r="BA377" i="3"/>
  <c r="AZ229" i="3"/>
  <c r="AZ249" i="3"/>
  <c r="AZ269" i="3"/>
  <c r="BA379" i="3"/>
  <c r="AZ379" i="3" s="1"/>
  <c r="BL380" i="3"/>
  <c r="G381" i="3"/>
  <c r="BA383" i="3"/>
  <c r="AZ383" i="3" s="1"/>
  <c r="BL384" i="3"/>
  <c r="G385" i="3"/>
  <c r="BA387" i="3"/>
  <c r="AZ387" i="3" s="1"/>
  <c r="BL388" i="3"/>
  <c r="AZ388" i="3" s="1"/>
  <c r="G389" i="3"/>
  <c r="BA391" i="3"/>
  <c r="BL392" i="3"/>
  <c r="AZ392" i="3" s="1"/>
  <c r="G393" i="3"/>
  <c r="BJ5" i="3"/>
  <c r="AZ325" i="3"/>
  <c r="AZ341" i="3"/>
  <c r="BK5" i="3"/>
  <c r="G17" i="3"/>
  <c r="BA17" i="3"/>
  <c r="AZ356" i="3"/>
  <c r="AZ368" i="3"/>
  <c r="BA15" i="3"/>
  <c r="G509" i="3"/>
  <c r="U36" i="40"/>
  <c r="F83" i="43"/>
  <c r="H85" i="43" s="1"/>
  <c r="F50" i="43"/>
  <c r="H54" i="43" s="1"/>
  <c r="G54" i="43" s="1"/>
  <c r="M54" i="43" s="1"/>
  <c r="F72" i="43"/>
  <c r="H75" i="43" s="1"/>
  <c r="U43" i="21"/>
  <c r="U35" i="21"/>
  <c r="AC35" i="21"/>
  <c r="AZ563" i="3"/>
  <c r="W37" i="37"/>
  <c r="W44" i="34"/>
  <c r="AC44" i="34"/>
  <c r="S15"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c r="F20" i="35"/>
  <c r="AA20" i="35"/>
  <c r="AB29" i="36"/>
  <c r="U29" i="36"/>
  <c r="H32" i="37"/>
  <c r="AB32" i="37" s="1"/>
  <c r="F96" i="37"/>
  <c r="G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9" i="3"/>
  <c r="AZ271" i="3"/>
  <c r="AZ69" i="3"/>
  <c r="AZ74" i="3"/>
  <c r="F23" i="39"/>
  <c r="AA23" i="39"/>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W26" i="33"/>
  <c r="W27" i="34"/>
  <c r="AC27" i="34"/>
  <c r="AB34" i="36"/>
  <c r="AC12" i="39"/>
  <c r="W12" i="39"/>
  <c r="W12" i="33"/>
  <c r="AC12" i="33"/>
  <c r="AA32" i="36"/>
  <c r="S32" i="36"/>
  <c r="BL14" i="3"/>
  <c r="U30" i="33"/>
  <c r="AC13" i="34"/>
  <c r="AA47" i="34"/>
  <c r="S19" i="39"/>
  <c r="F12" i="33"/>
  <c r="H12" i="39"/>
  <c r="AB12" i="39" s="1"/>
  <c r="F39" i="40"/>
  <c r="S39" i="40" s="1"/>
  <c r="BA14" i="3"/>
  <c r="AZ14" i="3" s="1"/>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U13" i="36"/>
  <c r="U26" i="36"/>
  <c r="AA26" i="36"/>
  <c r="AA34" i="36"/>
  <c r="AC26" i="36"/>
  <c r="AA22" i="36"/>
  <c r="W14" i="36"/>
  <c r="AB14" i="36"/>
  <c r="U22" i="36"/>
  <c r="S16" i="36"/>
  <c r="AA25" i="36"/>
  <c r="S24" i="36"/>
  <c r="U24" i="36"/>
  <c r="U16" i="36"/>
  <c r="S14" i="36"/>
  <c r="AA25" i="35"/>
  <c r="S23" i="35"/>
  <c r="W24" i="35"/>
  <c r="U29" i="35"/>
  <c r="U28" i="35"/>
  <c r="AB27" i="35"/>
  <c r="U36" i="35"/>
  <c r="U32" i="35"/>
  <c r="AA33" i="35"/>
  <c r="AC30" i="35"/>
  <c r="S32" i="35"/>
  <c r="AA36" i="35"/>
  <c r="S28" i="35"/>
  <c r="AB16" i="35"/>
  <c r="U22" i="35"/>
  <c r="S20" i="35"/>
  <c r="AC20" i="35"/>
  <c r="S22" i="35"/>
  <c r="AA11" i="35"/>
  <c r="AC9" i="35"/>
  <c r="W9" i="35"/>
  <c r="AC12" i="35"/>
  <c r="W13" i="35"/>
  <c r="F9" i="35"/>
  <c r="S9" i="35" s="1"/>
  <c r="H9" i="35"/>
  <c r="U9" i="35" s="1"/>
  <c r="W27" i="37"/>
  <c r="AC29" i="37"/>
  <c r="U29" i="37"/>
  <c r="S32" i="37"/>
  <c r="W30" i="37"/>
  <c r="S36" i="37"/>
  <c r="U32" i="37"/>
  <c r="AC35" i="37"/>
  <c r="W39" i="37"/>
  <c r="S30" i="37"/>
  <c r="S37" i="37"/>
  <c r="AC15" i="37"/>
  <c r="J17" i="37"/>
  <c r="W17" i="37" s="1"/>
  <c r="G73" i="37"/>
  <c r="F17" i="37"/>
  <c r="AA17" i="37" s="1"/>
  <c r="AB17" i="37"/>
  <c r="F75" i="37"/>
  <c r="F19" i="37"/>
  <c r="S19" i="37" s="1"/>
  <c r="F23" i="37"/>
  <c r="S23" i="37" s="1"/>
  <c r="U23" i="37"/>
  <c r="U15" i="37"/>
  <c r="AC13" i="37"/>
  <c r="AA13" i="37"/>
  <c r="H10" i="37"/>
  <c r="AB10" i="37" s="1"/>
  <c r="F63" i="37"/>
  <c r="F11" i="37"/>
  <c r="S11" i="37" s="1"/>
  <c r="W25" i="34"/>
  <c r="AB8" i="34"/>
  <c r="AA33" i="34"/>
  <c r="U43" i="34"/>
  <c r="AC39" i="34"/>
  <c r="AC42" i="34"/>
  <c r="AB35" i="34"/>
  <c r="U39" i="34"/>
  <c r="S43" i="34"/>
  <c r="AB41" i="34"/>
  <c r="AA25" i="34"/>
  <c r="S17" i="34"/>
  <c r="AA29" i="34"/>
  <c r="U27" i="34"/>
  <c r="S23" i="34"/>
  <c r="U15" i="34"/>
  <c r="S13" i="34"/>
  <c r="H10" i="34"/>
  <c r="AB10" i="34" s="1"/>
  <c r="F11" i="34"/>
  <c r="S11" i="34" s="1"/>
  <c r="F70" i="34"/>
  <c r="W42" i="33"/>
  <c r="AA35" i="33"/>
  <c r="S27" i="33"/>
  <c r="S32" i="33"/>
  <c r="W38" i="33"/>
  <c r="H41" i="33"/>
  <c r="U42" i="33"/>
  <c r="S42"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F91" i="33"/>
  <c r="G91" i="33" s="1"/>
  <c r="H91" i="33" s="1"/>
  <c r="I91" i="33" s="1"/>
  <c r="J91" i="33" s="1"/>
  <c r="K91" i="33" s="1"/>
  <c r="L91" i="33" s="1"/>
  <c r="M91" i="33" s="1"/>
  <c r="H27" i="33"/>
  <c r="AB27" i="33" s="1"/>
  <c r="F87" i="33"/>
  <c r="H25" i="33"/>
  <c r="F25" i="33"/>
  <c r="S25" i="33" s="1"/>
  <c r="F81" i="33"/>
  <c r="F19" i="33"/>
  <c r="S19" i="33" s="1"/>
  <c r="J17" i="33"/>
  <c r="W17" i="33" s="1"/>
  <c r="S15" i="33"/>
  <c r="J10" i="33"/>
  <c r="W10" i="33" s="1"/>
  <c r="H10" i="33"/>
  <c r="U10" i="33" s="1"/>
  <c r="AB14" i="33"/>
  <c r="W43" i="21"/>
  <c r="W36" i="21"/>
  <c r="W41" i="21"/>
  <c r="AB39" i="21"/>
  <c r="AA43" i="21"/>
  <c r="S39" i="21"/>
  <c r="AA38" i="21"/>
  <c r="AA36" i="21"/>
  <c r="AC40" i="21"/>
  <c r="J15" i="21"/>
  <c r="AC15" i="21" s="1"/>
  <c r="F77" i="21"/>
  <c r="G77" i="21"/>
  <c r="F23" i="21"/>
  <c r="AA23" i="21" s="1"/>
  <c r="E85" i="21"/>
  <c r="AA14" i="21"/>
  <c r="D120" i="9"/>
  <c r="D121" i="9" s="1"/>
  <c r="D7" i="52" s="1"/>
  <c r="F34" i="67"/>
  <c r="F62" i="67" s="1"/>
  <c r="M20" i="67"/>
  <c r="F34" i="15"/>
  <c r="F62" i="15" s="1"/>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B20" i="35"/>
  <c r="AC25" i="35"/>
  <c r="U25" i="35"/>
  <c r="S24" i="35"/>
  <c r="S35" i="35"/>
  <c r="AA16" i="35"/>
  <c r="W36" i="37"/>
  <c r="S27" i="37"/>
  <c r="S28" i="37"/>
  <c r="W32" i="37"/>
  <c r="U36" i="37"/>
  <c r="S40" i="37"/>
  <c r="U38" i="37"/>
  <c r="AB37" i="37"/>
  <c r="AB35" i="37"/>
  <c r="AA31" i="37"/>
  <c r="U19"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S35" i="21"/>
  <c r="J37" i="21"/>
  <c r="W37" i="21" s="1"/>
  <c r="H15" i="21"/>
  <c r="AB15" i="21" s="1"/>
  <c r="J17" i="21"/>
  <c r="AC17" i="21" s="1"/>
  <c r="AC19" i="21"/>
  <c r="W39" i="21"/>
  <c r="W30" i="21"/>
  <c r="S46" i="21"/>
  <c r="H45" i="21"/>
  <c r="U45" i="21" s="1"/>
  <c r="F29" i="21"/>
  <c r="AA29" i="21" s="1"/>
  <c r="F13" i="21"/>
  <c r="AA13" i="21" s="1"/>
  <c r="AC38" i="21"/>
  <c r="H32" i="21"/>
  <c r="H9" i="21"/>
  <c r="J9" i="21"/>
  <c r="J32" i="21"/>
  <c r="W32" i="21" s="1"/>
  <c r="F32" i="21"/>
  <c r="U17" i="21"/>
  <c r="W29" i="21"/>
  <c r="S19" i="21"/>
  <c r="S9" i="21"/>
  <c r="AA9" i="21"/>
  <c r="K141" i="21"/>
  <c r="K144" i="21"/>
  <c r="K143" i="21"/>
  <c r="U27" i="21"/>
  <c r="AB25" i="21"/>
  <c r="AA30"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4" i="43"/>
  <c r="B58" i="43"/>
  <c r="B62" i="43"/>
  <c r="B65" i="43"/>
  <c r="B69" i="43"/>
  <c r="D23" i="15"/>
  <c r="D22" i="15"/>
  <c r="E4" i="4"/>
  <c r="B5" i="62" s="1"/>
  <c r="B73" i="72" s="1"/>
  <c r="C4" i="4"/>
  <c r="S12" i="33"/>
  <c r="AA12" i="33"/>
  <c r="J32" i="39"/>
  <c r="AC32" i="39" s="1"/>
  <c r="H32" i="39"/>
  <c r="AB32" i="39" s="1"/>
  <c r="AA32" i="39"/>
  <c r="S32" i="39"/>
  <c r="AB21" i="39"/>
  <c r="U21" i="39"/>
  <c r="AA21" i="39"/>
  <c r="S21" i="39"/>
  <c r="AC17" i="37"/>
  <c r="S17" i="37"/>
  <c r="J19" i="37"/>
  <c r="W19" i="37" s="1"/>
  <c r="G75" i="37"/>
  <c r="AA19" i="37"/>
  <c r="J23" i="37"/>
  <c r="AC23" i="37" s="1"/>
  <c r="J10" i="37"/>
  <c r="W10" i="37" s="1"/>
  <c r="G63" i="37"/>
  <c r="H63" i="37" s="1"/>
  <c r="I63" i="37" s="1"/>
  <c r="H11" i="37"/>
  <c r="AB11" i="37" s="1"/>
  <c r="G70" i="34"/>
  <c r="H11" i="34"/>
  <c r="U11" i="34" s="1"/>
  <c r="J10" i="34"/>
  <c r="AC10" i="34" s="1"/>
  <c r="AB41" i="33"/>
  <c r="U41" i="33"/>
  <c r="W35" i="33"/>
  <c r="AC35" i="33"/>
  <c r="J36" i="33"/>
  <c r="W36" i="33" s="1"/>
  <c r="AC32" i="33"/>
  <c r="W32" i="33"/>
  <c r="J27" i="33"/>
  <c r="AC27" i="33" s="1"/>
  <c r="U25" i="33"/>
  <c r="AB25" i="33"/>
  <c r="G87" i="33"/>
  <c r="H87" i="33"/>
  <c r="I87" i="33" s="1"/>
  <c r="J87" i="33" s="1"/>
  <c r="K87" i="33" s="1"/>
  <c r="L87" i="33" s="1"/>
  <c r="M87" i="33" s="1"/>
  <c r="J25" i="33"/>
  <c r="AC25" i="33" s="1"/>
  <c r="H19" i="33"/>
  <c r="AB19" i="33" s="1"/>
  <c r="G81" i="33"/>
  <c r="H17" i="33"/>
  <c r="U17" i="33" s="1"/>
  <c r="F17" i="33"/>
  <c r="S17" i="33" s="1"/>
  <c r="J23" i="21"/>
  <c r="F85" i="21"/>
  <c r="G85" i="21" s="1"/>
  <c r="H23" i="21"/>
  <c r="S13" i="21"/>
  <c r="AP7" i="1"/>
  <c r="AB45" i="21"/>
  <c r="AB9" i="21"/>
  <c r="U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6" i="67"/>
  <c r="F26" i="67"/>
  <c r="B12" i="76"/>
  <c r="E2" i="68"/>
  <c r="E9" i="76"/>
  <c r="B13" i="76"/>
  <c r="E2" i="69"/>
  <c r="M28" i="67"/>
  <c r="B10" i="76"/>
  <c r="L47" i="67"/>
  <c r="AO13" i="1"/>
  <c r="E10" i="76"/>
  <c r="F7" i="73"/>
  <c r="F5" i="73"/>
  <c r="F20" i="31"/>
  <c r="F16" i="67"/>
  <c r="B7" i="76"/>
  <c r="D34" i="9"/>
  <c r="B11" i="76"/>
  <c r="E7" i="76"/>
  <c r="F4" i="73"/>
  <c r="F6" i="73"/>
  <c r="B8" i="76"/>
  <c r="F40" i="67"/>
  <c r="F3" i="73"/>
  <c r="M9" i="67"/>
  <c r="E11" i="76"/>
  <c r="E12" i="76"/>
  <c r="D6" i="73"/>
  <c r="E13" i="76"/>
  <c r="E8" i="76"/>
  <c r="B9" i="76"/>
  <c r="D35" i="9"/>
  <c r="M8" i="67"/>
  <c r="H36" i="33" l="1"/>
  <c r="U36" i="33" s="1"/>
  <c r="G111" i="33"/>
  <c r="H111" i="33" s="1"/>
  <c r="I111" i="33" s="1"/>
  <c r="J111" i="33" s="1"/>
  <c r="K111" i="33" s="1"/>
  <c r="L111" i="33" s="1"/>
  <c r="M111" i="33" s="1"/>
  <c r="F36" i="33"/>
  <c r="AA36" i="33" s="1"/>
  <c r="J23" i="33"/>
  <c r="AC23" i="33" s="1"/>
  <c r="F85" i="33"/>
  <c r="G85" i="33" s="1"/>
  <c r="F23" i="33"/>
  <c r="H23" i="33"/>
  <c r="U23" i="33" s="1"/>
  <c r="S28" i="33"/>
  <c r="AC28" i="33"/>
  <c r="AA30" i="33"/>
  <c r="F29" i="33"/>
  <c r="U29" i="33"/>
  <c r="W25" i="33"/>
  <c r="U27" i="33"/>
  <c r="AA25" i="33"/>
  <c r="AB26" i="33"/>
  <c r="AB21" i="33"/>
  <c r="AC19" i="33"/>
  <c r="AC17" i="33"/>
  <c r="AA17" i="33"/>
  <c r="U15" i="33"/>
  <c r="W15" i="33"/>
  <c r="S36" i="33"/>
  <c r="U9" i="33"/>
  <c r="W8" i="33"/>
  <c r="U33" i="33"/>
  <c r="AC11" i="33"/>
  <c r="N54" i="43"/>
  <c r="D54" i="43"/>
  <c r="K54" i="43"/>
  <c r="J54" i="43" s="1"/>
  <c r="G1" i="15"/>
  <c r="B6" i="1"/>
  <c r="E6" i="1" s="1"/>
  <c r="K1" i="12"/>
  <c r="BA13" i="3"/>
  <c r="C18" i="9"/>
  <c r="D18" i="9" s="1"/>
  <c r="F12" i="1"/>
  <c r="G12" i="1" s="1"/>
  <c r="F28" i="15"/>
  <c r="F32" i="67"/>
  <c r="F60" i="67" s="1"/>
  <c r="F28" i="67"/>
  <c r="F54" i="9"/>
  <c r="D68" i="9"/>
  <c r="M18" i="15"/>
  <c r="M18" i="67"/>
  <c r="F30" i="11"/>
  <c r="C48" i="11" s="1"/>
  <c r="F32" i="15"/>
  <c r="F60" i="15" s="1"/>
  <c r="F52" i="9"/>
  <c r="F30" i="68"/>
  <c r="F48" i="68" s="1"/>
  <c r="F30" i="69"/>
  <c r="F48" i="69" s="1"/>
  <c r="F31" i="12"/>
  <c r="C40" i="69"/>
  <c r="BB5" i="3"/>
  <c r="E12" i="6" s="1"/>
  <c r="E57" i="40" s="1"/>
  <c r="B57" i="43"/>
  <c r="H109" i="9"/>
  <c r="B16" i="53"/>
  <c r="B33" i="72" s="1"/>
  <c r="AZ552" i="3"/>
  <c r="AZ549" i="3"/>
  <c r="AZ536" i="3"/>
  <c r="AZ526" i="3"/>
  <c r="AZ516" i="3"/>
  <c r="AZ506" i="3"/>
  <c r="AZ501" i="3"/>
  <c r="AZ499" i="3"/>
  <c r="AB33" i="36"/>
  <c r="U33" i="36"/>
  <c r="AC8" i="34"/>
  <c r="W8" i="34"/>
  <c r="BL548" i="3"/>
  <c r="BF5" i="3"/>
  <c r="BN5" i="3"/>
  <c r="BD5" i="3"/>
  <c r="BL493" i="3"/>
  <c r="AZ493" i="3" s="1"/>
  <c r="BP5" i="3"/>
  <c r="AA39" i="40"/>
  <c r="U19" i="33"/>
  <c r="D6" i="52"/>
  <c r="AA23" i="37"/>
  <c r="B51" i="43"/>
  <c r="U15" i="21"/>
  <c r="U13" i="39"/>
  <c r="S23" i="21"/>
  <c r="W15" i="21"/>
  <c r="W43" i="33"/>
  <c r="U28" i="34"/>
  <c r="W41" i="34"/>
  <c r="AB31" i="37"/>
  <c r="AB20" i="36"/>
  <c r="H5" i="3"/>
  <c r="S25" i="21"/>
  <c r="AA25" i="21"/>
  <c r="BL503" i="3"/>
  <c r="BL515" i="3"/>
  <c r="BL523" i="3"/>
  <c r="BL547" i="3"/>
  <c r="BL553" i="3"/>
  <c r="AZ553" i="3" s="1"/>
  <c r="AZ571" i="3"/>
  <c r="AZ579" i="3"/>
  <c r="BA494" i="3"/>
  <c r="BL496" i="3"/>
  <c r="AC31" i="34"/>
  <c r="S29" i="37"/>
  <c r="AA13" i="33"/>
  <c r="S13" i="33"/>
  <c r="U28" i="33"/>
  <c r="AA12" i="36"/>
  <c r="U17" i="34"/>
  <c r="AB17" i="34"/>
  <c r="AB36" i="39"/>
  <c r="J13" i="21"/>
  <c r="H13" i="21"/>
  <c r="J44" i="21"/>
  <c r="H44" i="21"/>
  <c r="F38" i="37"/>
  <c r="J38" i="37"/>
  <c r="J32" i="40"/>
  <c r="F32" i="40"/>
  <c r="AZ525" i="3"/>
  <c r="AZ529" i="3"/>
  <c r="AZ498" i="3"/>
  <c r="AA14" i="40"/>
  <c r="S14" i="40"/>
  <c r="AB13" i="37"/>
  <c r="U13" i="37"/>
  <c r="AB11" i="33"/>
  <c r="U11" i="33"/>
  <c r="U38" i="21"/>
  <c r="AB38" i="21"/>
  <c r="AB31" i="36"/>
  <c r="U31" i="36"/>
  <c r="BA513" i="3"/>
  <c r="BA512" i="3"/>
  <c r="AZ512" i="3" s="1"/>
  <c r="BT5" i="3"/>
  <c r="BM5" i="3"/>
  <c r="H23" i="36"/>
  <c r="J23" i="36"/>
  <c r="F23" i="36"/>
  <c r="J33" i="36"/>
  <c r="AC33" i="36" s="1"/>
  <c r="F33" i="36"/>
  <c r="AZ534" i="3"/>
  <c r="AC5" i="3"/>
  <c r="BL495" i="3"/>
  <c r="AB36" i="33"/>
  <c r="W32" i="39"/>
  <c r="AA19" i="33"/>
  <c r="U25" i="34"/>
  <c r="AC34" i="37"/>
  <c r="S20" i="36"/>
  <c r="AA45" i="34"/>
  <c r="AB40" i="37"/>
  <c r="U14" i="35"/>
  <c r="AB13" i="35"/>
  <c r="AC34" i="33"/>
  <c r="AZ377" i="3"/>
  <c r="AZ361" i="3"/>
  <c r="AZ307" i="3"/>
  <c r="AZ305" i="3"/>
  <c r="BL511" i="3"/>
  <c r="AZ511" i="3" s="1"/>
  <c r="BL543" i="3"/>
  <c r="AZ543" i="3" s="1"/>
  <c r="AC44" i="33"/>
  <c r="W17" i="34"/>
  <c r="AC17" i="34"/>
  <c r="AC40" i="33"/>
  <c r="W40" i="33"/>
  <c r="J35" i="35"/>
  <c r="H35" i="35"/>
  <c r="AA27" i="35"/>
  <c r="S27" i="35"/>
  <c r="AZ557" i="3"/>
  <c r="BL555" i="3"/>
  <c r="AZ555" i="3" s="1"/>
  <c r="BA554" i="3"/>
  <c r="AZ554" i="3" s="1"/>
  <c r="BL551" i="3"/>
  <c r="AZ551" i="3" s="1"/>
  <c r="BA549" i="3"/>
  <c r="G549" i="3"/>
  <c r="BA548" i="3"/>
  <c r="BA547" i="3"/>
  <c r="BL545" i="3"/>
  <c r="BL544" i="3"/>
  <c r="AZ544" i="3" s="1"/>
  <c r="BL542" i="3"/>
  <c r="AZ542" i="3" s="1"/>
  <c r="BL541" i="3"/>
  <c r="AZ541" i="3" s="1"/>
  <c r="BA541" i="3"/>
  <c r="G541" i="3"/>
  <c r="BL540" i="3"/>
  <c r="AZ540" i="3" s="1"/>
  <c r="BA539" i="3"/>
  <c r="BA538" i="3"/>
  <c r="AZ538" i="3" s="1"/>
  <c r="BL537" i="3"/>
  <c r="AZ537" i="3" s="1"/>
  <c r="BA533" i="3"/>
  <c r="AZ533" i="3" s="1"/>
  <c r="BL532" i="3"/>
  <c r="AZ532" i="3" s="1"/>
  <c r="BA531" i="3"/>
  <c r="BA530" i="3"/>
  <c r="AZ530" i="3" s="1"/>
  <c r="BA528" i="3"/>
  <c r="AZ528" i="3" s="1"/>
  <c r="BL526" i="3"/>
  <c r="BA525" i="3"/>
  <c r="BL524" i="3"/>
  <c r="AZ524" i="3" s="1"/>
  <c r="G524" i="3"/>
  <c r="BA523" i="3"/>
  <c r="BA522" i="3"/>
  <c r="AZ522" i="3" s="1"/>
  <c r="BL521" i="3"/>
  <c r="AZ521" i="3" s="1"/>
  <c r="BA521" i="3"/>
  <c r="BL520" i="3"/>
  <c r="AZ520" i="3" s="1"/>
  <c r="BL518" i="3"/>
  <c r="AZ518" i="3" s="1"/>
  <c r="BA515" i="3"/>
  <c r="BA514" i="3"/>
  <c r="AZ514" i="3" s="1"/>
  <c r="BL513" i="3"/>
  <c r="G510" i="3"/>
  <c r="BA508" i="3"/>
  <c r="AZ508" i="3" s="1"/>
  <c r="BL506" i="3"/>
  <c r="BA505" i="3"/>
  <c r="AZ505" i="3" s="1"/>
  <c r="BL504" i="3"/>
  <c r="AZ504" i="3" s="1"/>
  <c r="BA503" i="3"/>
  <c r="AZ503" i="3" s="1"/>
  <c r="BA502" i="3"/>
  <c r="BL500" i="3"/>
  <c r="AZ500" i="3" s="1"/>
  <c r="BL499" i="3"/>
  <c r="BA497" i="3"/>
  <c r="AZ497" i="3" s="1"/>
  <c r="BA496" i="3"/>
  <c r="AZ496" i="3" s="1"/>
  <c r="G496" i="3"/>
  <c r="BA495" i="3"/>
  <c r="AZ192" i="3"/>
  <c r="W35" i="40"/>
  <c r="AC35" i="40"/>
  <c r="W28" i="37"/>
  <c r="AC28" i="37"/>
  <c r="S14" i="34"/>
  <c r="AA14" i="34"/>
  <c r="AA26" i="33"/>
  <c r="S26" i="33"/>
  <c r="BL502" i="3"/>
  <c r="AZ502" i="3" s="1"/>
  <c r="BO5" i="3"/>
  <c r="BE5" i="3"/>
  <c r="BG5" i="3"/>
  <c r="S37" i="21"/>
  <c r="W31" i="21"/>
  <c r="AC14" i="21"/>
  <c r="W9" i="33"/>
  <c r="AA35" i="37"/>
  <c r="U24" i="35"/>
  <c r="AA19" i="40"/>
  <c r="AZ370" i="3"/>
  <c r="AZ326" i="3"/>
  <c r="BL527" i="3"/>
  <c r="AZ527" i="3" s="1"/>
  <c r="BL539" i="3"/>
  <c r="AZ539" i="3" s="1"/>
  <c r="BL494" i="3"/>
  <c r="U12" i="40"/>
  <c r="AB12" i="40"/>
  <c r="U23" i="34"/>
  <c r="AB23" i="34"/>
  <c r="AB17" i="39"/>
  <c r="U17" i="39"/>
  <c r="H31" i="21"/>
  <c r="F31" i="21"/>
  <c r="J37" i="39"/>
  <c r="F37" i="39"/>
  <c r="S38" i="34"/>
  <c r="AA38" i="34"/>
  <c r="AZ357" i="3"/>
  <c r="AZ322" i="3"/>
  <c r="AZ160" i="3"/>
  <c r="AC43" i="39"/>
  <c r="BL519" i="3"/>
  <c r="AZ519" i="3" s="1"/>
  <c r="BL531" i="3"/>
  <c r="AZ531" i="3" s="1"/>
  <c r="BL559" i="3"/>
  <c r="AZ559" i="3" s="1"/>
  <c r="AZ573" i="3"/>
  <c r="AZ583" i="3"/>
  <c r="AZ568" i="3"/>
  <c r="AZ576" i="3"/>
  <c r="H43" i="39"/>
  <c r="BL585" i="3"/>
  <c r="AZ585" i="3" s="1"/>
  <c r="AC33" i="33"/>
  <c r="W33" i="33"/>
  <c r="F9" i="34"/>
  <c r="AA9" i="34" s="1"/>
  <c r="J9" i="34"/>
  <c r="H9" i="34"/>
  <c r="J12" i="34"/>
  <c r="H12" i="34"/>
  <c r="F12" i="34"/>
  <c r="S12" i="34" s="1"/>
  <c r="AB34" i="40"/>
  <c r="U34" i="40"/>
  <c r="J39" i="40"/>
  <c r="H39" i="40"/>
  <c r="H31" i="39"/>
  <c r="J31" i="39"/>
  <c r="AC11" i="39"/>
  <c r="AZ391" i="3"/>
  <c r="AZ318" i="3"/>
  <c r="AZ364" i="3"/>
  <c r="AZ329" i="3"/>
  <c r="AZ304" i="3"/>
  <c r="AZ306" i="3"/>
  <c r="BL535" i="3"/>
  <c r="AZ535" i="3" s="1"/>
  <c r="AZ575" i="3"/>
  <c r="AZ574" i="3"/>
  <c r="S29" i="35"/>
  <c r="AA29" i="35"/>
  <c r="F25" i="37"/>
  <c r="AB9" i="39"/>
  <c r="U9" i="39"/>
  <c r="AC40" i="39"/>
  <c r="W40" i="39"/>
  <c r="AA34" i="40"/>
  <c r="S34" i="40"/>
  <c r="G566" i="3"/>
  <c r="G558" i="3"/>
  <c r="AZ419" i="3"/>
  <c r="C52" i="71"/>
  <c r="D51" i="71"/>
  <c r="C55" i="71"/>
  <c r="D54" i="71"/>
  <c r="C60" i="71"/>
  <c r="D59" i="71"/>
  <c r="N67" i="71"/>
  <c r="B66" i="71"/>
  <c r="F66" i="71"/>
  <c r="Q65" i="71" s="1"/>
  <c r="Q67" i="71"/>
  <c r="T80" i="71"/>
  <c r="C79" i="71"/>
  <c r="D80" i="7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L441" i="3"/>
  <c r="BL442" i="3"/>
  <c r="BL448" i="3"/>
  <c r="G451" i="3"/>
  <c r="BA457" i="3"/>
  <c r="AZ457" i="3" s="1"/>
  <c r="BA460" i="3"/>
  <c r="AZ460" i="3" s="1"/>
  <c r="BA461" i="3"/>
  <c r="AZ461" i="3" s="1"/>
  <c r="AZ27" i="3"/>
  <c r="B79" i="43"/>
  <c r="H23" i="35"/>
  <c r="G551" i="3"/>
  <c r="BL550" i="3"/>
  <c r="AZ550" i="3" s="1"/>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A444" i="3"/>
  <c r="AZ444" i="3" s="1"/>
  <c r="BA453" i="3"/>
  <c r="BA455" i="3"/>
  <c r="AZ455" i="3" s="1"/>
  <c r="BA459" i="3"/>
  <c r="BL464" i="3"/>
  <c r="BA466" i="3"/>
  <c r="BA480" i="3"/>
  <c r="G585" i="3"/>
  <c r="BL587" i="3"/>
  <c r="AZ587" i="3" s="1"/>
  <c r="BL586" i="3"/>
  <c r="AZ586" i="3" s="1"/>
  <c r="BL16" i="3"/>
  <c r="AZ16" i="3" s="1"/>
  <c r="BA401" i="3"/>
  <c r="BA403" i="3"/>
  <c r="AZ403" i="3" s="1"/>
  <c r="BA404" i="3"/>
  <c r="AZ404" i="3" s="1"/>
  <c r="BA405" i="3"/>
  <c r="BL410" i="3"/>
  <c r="G412" i="3"/>
  <c r="G418" i="3"/>
  <c r="BA422" i="3"/>
  <c r="G429" i="3"/>
  <c r="BL431" i="3"/>
  <c r="AZ431" i="3" s="1"/>
  <c r="G433" i="3"/>
  <c r="BL434" i="3"/>
  <c r="G436" i="3"/>
  <c r="G437" i="3"/>
  <c r="BL438" i="3"/>
  <c r="BL439" i="3"/>
  <c r="BL443" i="3"/>
  <c r="AZ443" i="3" s="1"/>
  <c r="G447" i="3"/>
  <c r="BA448" i="3"/>
  <c r="AZ448" i="3" s="1"/>
  <c r="BA452" i="3"/>
  <c r="G457" i="3"/>
  <c r="BA458" i="3"/>
  <c r="AZ458" i="3" s="1"/>
  <c r="BA462" i="3"/>
  <c r="AZ462" i="3" s="1"/>
  <c r="G471" i="3"/>
  <c r="BA476" i="3"/>
  <c r="AZ476" i="3" s="1"/>
  <c r="G358" i="3"/>
  <c r="BL381" i="3"/>
  <c r="AZ381" i="3" s="1"/>
  <c r="BL386" i="3"/>
  <c r="G396" i="3"/>
  <c r="BL466" i="3"/>
  <c r="G469" i="3"/>
  <c r="BL476" i="3"/>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3" i="3"/>
  <c r="BL232" i="3"/>
  <c r="AZ126" i="3"/>
  <c r="B13" i="1"/>
  <c r="E13" i="1" s="1"/>
  <c r="K13" i="1"/>
  <c r="M13" i="1" s="1"/>
  <c r="O13" i="1" s="1"/>
  <c r="P13" i="1" s="1"/>
  <c r="AC29" i="39"/>
  <c r="W29" i="39"/>
  <c r="BA441" i="3"/>
  <c r="BL445" i="3"/>
  <c r="AZ445" i="3" s="1"/>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AZ332" i="3" s="1"/>
  <c r="BL332" i="3"/>
  <c r="G339" i="3"/>
  <c r="G364" i="3"/>
  <c r="BA367" i="3"/>
  <c r="AZ367" i="3" s="1"/>
  <c r="BA370" i="3"/>
  <c r="BA386" i="3"/>
  <c r="AZ386" i="3" s="1"/>
  <c r="G397" i="3"/>
  <c r="G210" i="3"/>
  <c r="BA216" i="3"/>
  <c r="AZ216" i="3" s="1"/>
  <c r="BA218" i="3"/>
  <c r="BL218" i="3"/>
  <c r="BA221" i="3"/>
  <c r="BL224" i="3"/>
  <c r="BA227" i="3"/>
  <c r="AZ227" i="3" s="1"/>
  <c r="BA230" i="3"/>
  <c r="AZ230" i="3" s="1"/>
  <c r="BL233" i="3"/>
  <c r="AZ233" i="3" s="1"/>
  <c r="BA238" i="3"/>
  <c r="AZ238" i="3" s="1"/>
  <c r="BL242" i="3"/>
  <c r="BL243" i="3"/>
  <c r="AZ243" i="3" s="1"/>
  <c r="BL248" i="3"/>
  <c r="AZ248" i="3" s="1"/>
  <c r="BA253" i="3"/>
  <c r="BA288" i="3"/>
  <c r="AZ125" i="3"/>
  <c r="BA133" i="3"/>
  <c r="AZ133" i="3" s="1"/>
  <c r="BL173" i="3"/>
  <c r="BA439" i="3"/>
  <c r="BA440" i="3"/>
  <c r="AZ440" i="3" s="1"/>
  <c r="BA442" i="3"/>
  <c r="BA445" i="3"/>
  <c r="BA447" i="3"/>
  <c r="AZ447" i="3" s="1"/>
  <c r="BA449" i="3"/>
  <c r="AZ449" i="3" s="1"/>
  <c r="BL453" i="3"/>
  <c r="BL454" i="3"/>
  <c r="AZ454" i="3" s="1"/>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G224" i="3"/>
  <c r="BL225" i="3"/>
  <c r="BL226" i="3"/>
  <c r="G227" i="3"/>
  <c r="BL228" i="3"/>
  <c r="AZ228" i="3" s="1"/>
  <c r="G231" i="3"/>
  <c r="BL231" i="3"/>
  <c r="G233" i="3"/>
  <c r="BA235" i="3"/>
  <c r="AZ235" i="3" s="1"/>
  <c r="BA236" i="3"/>
  <c r="BA250" i="3"/>
  <c r="AZ250" i="3" s="1"/>
  <c r="BA251" i="3"/>
  <c r="AZ251" i="3" s="1"/>
  <c r="BL251" i="3"/>
  <c r="BL254" i="3"/>
  <c r="BL262" i="3"/>
  <c r="AZ270" i="3"/>
  <c r="BL280" i="3"/>
  <c r="BA286" i="3"/>
  <c r="AZ286" i="3" s="1"/>
  <c r="BA132" i="3"/>
  <c r="AZ132" i="3" s="1"/>
  <c r="BL135" i="3"/>
  <c r="AZ135" i="3" s="1"/>
  <c r="BA157" i="3"/>
  <c r="AZ157" i="3" s="1"/>
  <c r="BA222" i="3"/>
  <c r="AZ222" i="3" s="1"/>
  <c r="BA224" i="3"/>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BA177" i="3"/>
  <c r="AZ177" i="3" s="1"/>
  <c r="BA178" i="3"/>
  <c r="BL86" i="3"/>
  <c r="AA34" i="71"/>
  <c r="AA30" i="71"/>
  <c r="BL260" i="3"/>
  <c r="BL263" i="3"/>
  <c r="AZ263" i="3" s="1"/>
  <c r="BL270" i="3"/>
  <c r="BA272" i="3"/>
  <c r="AZ272" i="3" s="1"/>
  <c r="BL275" i="3"/>
  <c r="AZ275" i="3" s="1"/>
  <c r="BL285" i="3"/>
  <c r="BL287" i="3"/>
  <c r="BA290" i="3"/>
  <c r="BL299" i="3"/>
  <c r="BL113" i="3"/>
  <c r="BL115" i="3"/>
  <c r="AZ115" i="3" s="1"/>
  <c r="BA118" i="3"/>
  <c r="AZ118" i="3" s="1"/>
  <c r="BL118" i="3"/>
  <c r="BA122" i="3"/>
  <c r="AZ122" i="3" s="1"/>
  <c r="BL125" i="3"/>
  <c r="BL126" i="3"/>
  <c r="BA144" i="3"/>
  <c r="AZ144" i="3" s="1"/>
  <c r="BA153" i="3"/>
  <c r="BL155" i="3"/>
  <c r="AZ155" i="3" s="1"/>
  <c r="BA164" i="3"/>
  <c r="AZ164" i="3" s="1"/>
  <c r="BA166" i="3"/>
  <c r="AZ166" i="3" s="1"/>
  <c r="BA169" i="3"/>
  <c r="AZ169" i="3" s="1"/>
  <c r="BL171" i="3"/>
  <c r="AZ171" i="3" s="1"/>
  <c r="BA176" i="3"/>
  <c r="AZ176" i="3" s="1"/>
  <c r="BL183" i="3"/>
  <c r="AZ183" i="3" s="1"/>
  <c r="BA186" i="3"/>
  <c r="AZ186" i="3" s="1"/>
  <c r="BL189" i="3"/>
  <c r="AZ189" i="3" s="1"/>
  <c r="BL190" i="3"/>
  <c r="AZ190" i="3" s="1"/>
  <c r="BA192" i="3"/>
  <c r="BL195" i="3"/>
  <c r="AZ195" i="3" s="1"/>
  <c r="BA197" i="3"/>
  <c r="AZ197" i="3" s="1"/>
  <c r="BA201" i="3"/>
  <c r="AZ201" i="3" s="1"/>
  <c r="BA202" i="3"/>
  <c r="BA207" i="3"/>
  <c r="AZ207" i="3" s="1"/>
  <c r="BA18" i="3"/>
  <c r="BL21" i="3"/>
  <c r="BL29" i="3"/>
  <c r="BA32" i="3"/>
  <c r="BL7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AZ290" i="3" s="1"/>
  <c r="BL291" i="3"/>
  <c r="AZ291" i="3" s="1"/>
  <c r="BL293" i="3"/>
  <c r="BL294" i="3"/>
  <c r="BA297" i="3"/>
  <c r="AZ297" i="3" s="1"/>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7" i="3"/>
  <c r="BL198" i="3"/>
  <c r="BL199" i="3"/>
  <c r="AZ199" i="3" s="1"/>
  <c r="BA200" i="3"/>
  <c r="AZ200" i="3" s="1"/>
  <c r="BA31" i="3"/>
  <c r="BA55" i="3"/>
  <c r="AZ55" i="3" s="1"/>
  <c r="AZ65" i="3"/>
  <c r="AA18" i="36"/>
  <c r="S18" i="36"/>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AZ41" i="3" s="1"/>
  <c r="G45" i="3"/>
  <c r="BL45" i="3"/>
  <c r="BA48" i="3"/>
  <c r="BA49" i="3"/>
  <c r="BA51" i="3"/>
  <c r="AZ51" i="3" s="1"/>
  <c r="G54" i="3"/>
  <c r="G55" i="3"/>
  <c r="BL56" i="3"/>
  <c r="BA58" i="3"/>
  <c r="AZ58" i="3" s="1"/>
  <c r="BL59" i="3"/>
  <c r="AZ59" i="3" s="1"/>
  <c r="BL60" i="3"/>
  <c r="BA61" i="3"/>
  <c r="AZ61" i="3" s="1"/>
  <c r="BA68" i="3"/>
  <c r="AZ68" i="3" s="1"/>
  <c r="BA73" i="3"/>
  <c r="BA79" i="3"/>
  <c r="AZ79" i="3" s="1"/>
  <c r="G82" i="3"/>
  <c r="G83" i="3"/>
  <c r="BA84" i="3"/>
  <c r="AZ84" i="3" s="1"/>
  <c r="BL88" i="3"/>
  <c r="AZ88" i="3" s="1"/>
  <c r="G90" i="3"/>
  <c r="BL90" i="3"/>
  <c r="G98" i="3"/>
  <c r="G99" i="3"/>
  <c r="BA105" i="3"/>
  <c r="BA106" i="3"/>
  <c r="AZ106" i="3" s="1"/>
  <c r="BL108" i="3"/>
  <c r="G110" i="3"/>
  <c r="BL112" i="3"/>
  <c r="AB29" i="39"/>
  <c r="U29" i="39"/>
  <c r="F34" i="71"/>
  <c r="F35" i="71" s="1"/>
  <c r="F36" i="71" s="1"/>
  <c r="V36" i="71" s="1"/>
  <c r="AB33" i="71"/>
  <c r="AB28" i="71"/>
  <c r="T72" i="71"/>
  <c r="C71" i="71"/>
  <c r="U76" i="71"/>
  <c r="E75" i="71"/>
  <c r="E74" i="71" s="1"/>
  <c r="BA37" i="3"/>
  <c r="BL39" i="3"/>
  <c r="BA45" i="3"/>
  <c r="BA46" i="3"/>
  <c r="AZ46" i="3" s="1"/>
  <c r="BL49" i="3"/>
  <c r="BL50" i="3"/>
  <c r="AZ50" i="3" s="1"/>
  <c r="BL51" i="3"/>
  <c r="BL53" i="3"/>
  <c r="BA56" i="3"/>
  <c r="BA57" i="3"/>
  <c r="BL58" i="3"/>
  <c r="BA60" i="3"/>
  <c r="BA63" i="3"/>
  <c r="BA66" i="3"/>
  <c r="AZ66" i="3" s="1"/>
  <c r="BA71" i="3"/>
  <c r="BL77" i="3"/>
  <c r="AZ77" i="3" s="1"/>
  <c r="BL81" i="3"/>
  <c r="BA82" i="3"/>
  <c r="AZ82" i="3" s="1"/>
  <c r="BL83" i="3"/>
  <c r="BA90" i="3"/>
  <c r="AZ90" i="3" s="1"/>
  <c r="BA94" i="3"/>
  <c r="AZ94" i="3" s="1"/>
  <c r="BA100" i="3"/>
  <c r="BA103" i="3"/>
  <c r="AZ103" i="3" s="1"/>
  <c r="BA104" i="3"/>
  <c r="AZ104" i="3" s="1"/>
  <c r="BA111" i="3"/>
  <c r="AZ111" i="3" s="1"/>
  <c r="AA21" i="33"/>
  <c r="S21" i="33"/>
  <c r="AA21" i="37"/>
  <c r="S21" i="37"/>
  <c r="E28" i="71"/>
  <c r="AA27" i="71"/>
  <c r="AA28" i="71"/>
  <c r="D38" i="71"/>
  <c r="C39" i="71"/>
  <c r="C31" i="71"/>
  <c r="Y30" i="71"/>
  <c r="Z30" i="71" s="1"/>
  <c r="AA38" i="71"/>
  <c r="AA39" i="71"/>
  <c r="D84" i="71"/>
  <c r="C83" i="71"/>
  <c r="AB27" i="71"/>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69" i="3"/>
  <c r="G70" i="3"/>
  <c r="BL70" i="3"/>
  <c r="AZ70" i="3" s="1"/>
  <c r="BL71" i="3"/>
  <c r="BL72" i="3"/>
  <c r="AZ72" i="3" s="1"/>
  <c r="G74" i="3"/>
  <c r="G75" i="3"/>
  <c r="BL75" i="3"/>
  <c r="AZ75" i="3" s="1"/>
  <c r="BL91" i="3"/>
  <c r="BL100" i="3"/>
  <c r="BL105" i="3"/>
  <c r="BL107" i="3"/>
  <c r="P27" i="6"/>
  <c r="AA3" i="71"/>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BA91" i="3"/>
  <c r="AZ91" i="3" s="1"/>
  <c r="G96" i="3"/>
  <c r="BL97" i="3"/>
  <c r="AZ97" i="3" s="1"/>
  <c r="BL101" i="3"/>
  <c r="AZ101" i="3" s="1"/>
  <c r="BL102" i="3"/>
  <c r="AZ102" i="3" s="1"/>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9" i="3"/>
  <c r="AZ442" i="3"/>
  <c r="AZ452" i="3"/>
  <c r="AZ456" i="3"/>
  <c r="AZ467" i="3"/>
  <c r="AZ468"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BA234" i="3"/>
  <c r="AZ234" i="3" s="1"/>
  <c r="AZ236" i="3"/>
  <c r="G248" i="3"/>
  <c r="AZ258" i="3"/>
  <c r="AZ260" i="3"/>
  <c r="BL268" i="3"/>
  <c r="G278" i="3"/>
  <c r="BA474" i="3"/>
  <c r="AZ474" i="3" s="1"/>
  <c r="BA475" i="3"/>
  <c r="AZ475" i="3" s="1"/>
  <c r="BL481" i="3"/>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BL279" i="3"/>
  <c r="AZ279" i="3" s="1"/>
  <c r="BL281" i="3"/>
  <c r="AZ281" i="3" s="1"/>
  <c r="BA285" i="3"/>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AZ87" i="3"/>
  <c r="BL202" i="3"/>
  <c r="AZ202" i="3" s="1"/>
  <c r="BL36" i="3"/>
  <c r="AZ36" i="3" s="1"/>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54" i="3"/>
  <c r="AZ92" i="3"/>
  <c r="BL78" i="3"/>
  <c r="AZ78" i="3" s="1"/>
  <c r="BA83" i="3"/>
  <c r="AZ83" i="3" s="1"/>
  <c r="G91" i="3"/>
  <c r="BL95" i="3"/>
  <c r="AZ95" i="3" s="1"/>
  <c r="BL98" i="3"/>
  <c r="AZ98" i="3" s="1"/>
  <c r="BL109" i="3"/>
  <c r="AZ109" i="3" s="1"/>
  <c r="AB21" i="21"/>
  <c r="G77" i="3"/>
  <c r="G5" i="3" s="1"/>
  <c r="B3" i="3" s="1"/>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C27" i="67"/>
  <c r="N59" i="67"/>
  <c r="L59" i="67"/>
  <c r="M59" i="67"/>
  <c r="B13" i="70"/>
  <c r="F68" i="67"/>
  <c r="F64" i="67"/>
  <c r="C36" i="68"/>
  <c r="D9" i="69"/>
  <c r="C36" i="69"/>
  <c r="D9" i="68"/>
  <c r="L48" i="15"/>
  <c r="F38" i="15"/>
  <c r="M9" i="15"/>
  <c r="M22" i="15"/>
  <c r="M29" i="15"/>
  <c r="M24" i="15"/>
  <c r="M6" i="15"/>
  <c r="J15" i="67"/>
  <c r="L48" i="67"/>
  <c r="F37" i="67"/>
  <c r="M6" i="67"/>
  <c r="F42" i="15"/>
  <c r="F43" i="15"/>
  <c r="F9" i="15"/>
  <c r="C76" i="15"/>
  <c r="F6" i="15"/>
  <c r="F8" i="15"/>
  <c r="M24" i="67"/>
  <c r="M29" i="67"/>
  <c r="F8" i="67"/>
  <c r="D5" i="73"/>
  <c r="M22" i="67"/>
  <c r="F13" i="67"/>
  <c r="F36" i="15"/>
  <c r="D4" i="73"/>
  <c r="F26" i="15"/>
  <c r="M8" i="15"/>
  <c r="F7" i="15"/>
  <c r="J15" i="15"/>
  <c r="M28" i="15"/>
  <c r="F37" i="15"/>
  <c r="M26" i="15"/>
  <c r="F43" i="67"/>
  <c r="D3" i="73"/>
  <c r="F42" i="67"/>
  <c r="F9" i="67"/>
  <c r="F7" i="67"/>
  <c r="M23" i="67"/>
  <c r="L47" i="15"/>
  <c r="F16" i="15"/>
  <c r="M23" i="15"/>
  <c r="F13" i="15"/>
  <c r="F40" i="15"/>
  <c r="F6" i="67"/>
  <c r="M26" i="67"/>
  <c r="D7" i="73"/>
  <c r="C76" i="67"/>
  <c r="F38" i="67"/>
  <c r="W23" i="33" l="1"/>
  <c r="AB23" i="33"/>
  <c r="S29" i="33"/>
  <c r="AA29" i="33"/>
  <c r="M57" i="43"/>
  <c r="N57" i="43" s="1"/>
  <c r="K57" i="43"/>
  <c r="J57" i="43" s="1"/>
  <c r="D57" i="43" s="1"/>
  <c r="M53" i="43"/>
  <c r="N53" i="43" s="1"/>
  <c r="K53" i="43"/>
  <c r="K55" i="43"/>
  <c r="M55" i="43"/>
  <c r="N55" i="43" s="1"/>
  <c r="K58" i="43"/>
  <c r="J58" i="43" s="1"/>
  <c r="M58" i="43"/>
  <c r="N58" i="43" s="1"/>
  <c r="M50" i="43"/>
  <c r="N50" i="43" s="1"/>
  <c r="K50" i="43"/>
  <c r="J50" i="43" s="1"/>
  <c r="M51" i="43"/>
  <c r="N51" i="43" s="1"/>
  <c r="K51" i="43"/>
  <c r="M52" i="43"/>
  <c r="N52" i="43" s="1"/>
  <c r="K52" i="43"/>
  <c r="M56" i="43"/>
  <c r="N56" i="43" s="1"/>
  <c r="K56" i="43"/>
  <c r="J56" i="43" s="1"/>
  <c r="F64" i="15"/>
  <c r="F51" i="15"/>
  <c r="F65" i="15"/>
  <c r="F68" i="15"/>
  <c r="C6" i="15"/>
  <c r="C32" i="15" s="1"/>
  <c r="Q71" i="15"/>
  <c r="M7" i="15"/>
  <c r="J6" i="15" s="1"/>
  <c r="F50" i="15"/>
  <c r="F71" i="15"/>
  <c r="F66" i="15"/>
  <c r="N59" i="15"/>
  <c r="L58" i="15"/>
  <c r="Q73" i="15" s="1"/>
  <c r="M59" i="15"/>
  <c r="L59" i="15"/>
  <c r="Q74" i="15" s="1"/>
  <c r="I54" i="15"/>
  <c r="J53" i="15"/>
  <c r="L56" i="15" s="1"/>
  <c r="J57" i="15"/>
  <c r="J55" i="15" s="1"/>
  <c r="J58" i="15" s="1"/>
  <c r="Q50" i="15" s="1"/>
  <c r="C27" i="15"/>
  <c r="E13" i="6"/>
  <c r="E15" i="6"/>
  <c r="E64" i="39" s="1"/>
  <c r="C30" i="69"/>
  <c r="C31" i="12"/>
  <c r="C30" i="11"/>
  <c r="C48" i="69"/>
  <c r="E11" i="6"/>
  <c r="E60" i="39" s="1"/>
  <c r="E10" i="6"/>
  <c r="E14" i="6"/>
  <c r="E63" i="39" s="1"/>
  <c r="N370" i="46"/>
  <c r="H26" i="43"/>
  <c r="E26" i="43"/>
  <c r="F26" i="43"/>
  <c r="N94" i="46"/>
  <c r="J26" i="43"/>
  <c r="F66" i="67"/>
  <c r="F51" i="67"/>
  <c r="F71" i="67"/>
  <c r="I54" i="67"/>
  <c r="J53" i="67"/>
  <c r="F1" i="67" s="1"/>
  <c r="L56" i="67"/>
  <c r="J57" i="67"/>
  <c r="J55" i="67" s="1"/>
  <c r="J58" i="67" s="1"/>
  <c r="Q50" i="67" s="1"/>
  <c r="L58" i="67"/>
  <c r="Q60" i="67" s="1"/>
  <c r="F31" i="67"/>
  <c r="C6" i="67"/>
  <c r="C32" i="67" s="1"/>
  <c r="F50" i="67"/>
  <c r="M7" i="67"/>
  <c r="J6" i="67" s="1"/>
  <c r="J18" i="67" s="1"/>
  <c r="Q71" i="67"/>
  <c r="F65" i="67"/>
  <c r="AB31" i="39"/>
  <c r="U31" i="39"/>
  <c r="D60" i="71"/>
  <c r="T60" i="71"/>
  <c r="T52" i="71"/>
  <c r="D52" i="71"/>
  <c r="AA25" i="37"/>
  <c r="S25" i="37"/>
  <c r="W12" i="34"/>
  <c r="AC12" i="34"/>
  <c r="AA37" i="39"/>
  <c r="S37" i="39"/>
  <c r="AC23" i="36"/>
  <c r="W23" i="36"/>
  <c r="S32" i="40"/>
  <c r="AA32" i="40"/>
  <c r="U44" i="21"/>
  <c r="AB44" i="21"/>
  <c r="AZ515" i="3"/>
  <c r="J7" i="36"/>
  <c r="P6" i="1"/>
  <c r="C13" i="12" s="1"/>
  <c r="Q16" i="1"/>
  <c r="F27" i="69" s="1"/>
  <c r="C47" i="69" s="1"/>
  <c r="D45" i="69" s="1"/>
  <c r="AZ107" i="3"/>
  <c r="AZ165" i="3"/>
  <c r="AZ292" i="3"/>
  <c r="AZ246" i="3"/>
  <c r="AZ481" i="3"/>
  <c r="AZ268" i="3"/>
  <c r="AZ213" i="3"/>
  <c r="G16" i="1"/>
  <c r="F10" i="39" s="1"/>
  <c r="S10" i="39" s="1"/>
  <c r="C36" i="71"/>
  <c r="D35" i="71"/>
  <c r="C86" i="71"/>
  <c r="D86" i="71" s="1"/>
  <c r="D87" i="71"/>
  <c r="T28" i="71"/>
  <c r="D28" i="71"/>
  <c r="U28" i="71" s="1"/>
  <c r="C27" i="71"/>
  <c r="D31" i="71"/>
  <c r="C32" i="71"/>
  <c r="AZ71" i="3"/>
  <c r="AZ45" i="3"/>
  <c r="AZ105" i="3"/>
  <c r="AZ49" i="3"/>
  <c r="AZ302" i="3"/>
  <c r="AZ284" i="3"/>
  <c r="AZ277" i="3"/>
  <c r="AZ256" i="3"/>
  <c r="AZ224" i="3"/>
  <c r="AZ218" i="3"/>
  <c r="AZ441" i="3"/>
  <c r="AZ401" i="3"/>
  <c r="AZ459" i="3"/>
  <c r="AZ414" i="3"/>
  <c r="U23" i="35"/>
  <c r="AB23" i="35"/>
  <c r="C78" i="71"/>
  <c r="D78" i="71" s="1"/>
  <c r="D79" i="71"/>
  <c r="N65" i="71"/>
  <c r="N66" i="71"/>
  <c r="AB9" i="34"/>
  <c r="U9" i="34"/>
  <c r="AC37" i="39"/>
  <c r="W37" i="39"/>
  <c r="AA33" i="36"/>
  <c r="S33" i="36"/>
  <c r="AB23" i="36"/>
  <c r="U23" i="36"/>
  <c r="AZ513" i="3"/>
  <c r="AC32" i="40"/>
  <c r="W32" i="40"/>
  <c r="AC44" i="21"/>
  <c r="W44" i="21"/>
  <c r="C82" i="71"/>
  <c r="D82" i="71" s="1"/>
  <c r="D83" i="71"/>
  <c r="B20" i="31"/>
  <c r="B21" i="31" s="1"/>
  <c r="H16" i="1"/>
  <c r="C44" i="71"/>
  <c r="D43" i="71"/>
  <c r="AZ86" i="3"/>
  <c r="AZ53" i="3"/>
  <c r="C40" i="71"/>
  <c r="D39" i="71"/>
  <c r="AZ100" i="3"/>
  <c r="AZ57" i="3"/>
  <c r="C70" i="71"/>
  <c r="D70" i="71" s="1"/>
  <c r="D71" i="71"/>
  <c r="AZ31" i="3"/>
  <c r="AZ178" i="3"/>
  <c r="AZ280" i="3"/>
  <c r="AZ223" i="3"/>
  <c r="AZ422" i="3"/>
  <c r="AZ405" i="3"/>
  <c r="AZ480" i="3"/>
  <c r="C56" i="71"/>
  <c r="D55" i="71"/>
  <c r="U39" i="40"/>
  <c r="AB39" i="40"/>
  <c r="AC9" i="34"/>
  <c r="W9" i="34"/>
  <c r="S31" i="21"/>
  <c r="AA31" i="21"/>
  <c r="AC35" i="35"/>
  <c r="W35" i="35"/>
  <c r="F29" i="6"/>
  <c r="AC38" i="37"/>
  <c r="W38" i="37"/>
  <c r="U13" i="21"/>
  <c r="AB13" i="21"/>
  <c r="AZ494" i="3"/>
  <c r="AZ547" i="3"/>
  <c r="G29" i="6"/>
  <c r="G30" i="6" s="1"/>
  <c r="G31" i="6" s="1"/>
  <c r="D17" i="53"/>
  <c r="B36" i="72" s="1"/>
  <c r="AZ206" i="3"/>
  <c r="AZ285" i="3"/>
  <c r="AZ492" i="3"/>
  <c r="AZ232" i="3"/>
  <c r="O65" i="71"/>
  <c r="D66" i="71"/>
  <c r="O66" i="71"/>
  <c r="AZ63" i="3"/>
  <c r="AZ182" i="3"/>
  <c r="AZ150" i="3"/>
  <c r="AZ466" i="3"/>
  <c r="AZ453" i="3"/>
  <c r="W31" i="39"/>
  <c r="AC31" i="39"/>
  <c r="AC39" i="40"/>
  <c r="W39" i="40"/>
  <c r="U12" i="34"/>
  <c r="AB12" i="34"/>
  <c r="U43" i="39"/>
  <c r="AB43" i="39"/>
  <c r="U31" i="21"/>
  <c r="AB31" i="21"/>
  <c r="AZ548" i="3"/>
  <c r="AA23" i="36"/>
  <c r="S23" i="36"/>
  <c r="S38" i="37"/>
  <c r="AA38" i="37"/>
  <c r="AC13" i="21"/>
  <c r="W13" i="21"/>
  <c r="AZ523" i="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H7" i="37"/>
  <c r="AB7" i="37" s="1"/>
  <c r="T42" i="37" s="1"/>
  <c r="G42" i="37" s="1"/>
  <c r="H7" i="33"/>
  <c r="J7" i="33"/>
  <c r="D65" i="40"/>
  <c r="E63" i="40"/>
  <c r="F48" i="35"/>
  <c r="S7" i="36"/>
  <c r="AA7" i="36"/>
  <c r="AC7" i="37"/>
  <c r="W7" i="37"/>
  <c r="F7" i="33"/>
  <c r="E58" i="21"/>
  <c r="AC7" i="36"/>
  <c r="V36" i="36" s="1"/>
  <c r="I36" i="36" s="1"/>
  <c r="W7" i="36"/>
  <c r="F7" i="37"/>
  <c r="M17" i="15"/>
  <c r="F59" i="15"/>
  <c r="P28" i="43"/>
  <c r="B66" i="40" s="1"/>
  <c r="P25" i="43"/>
  <c r="P29" i="43"/>
  <c r="P27" i="43"/>
  <c r="B70" i="39" s="1"/>
  <c r="J18" i="15"/>
  <c r="M11" i="67"/>
  <c r="J10" i="67" s="1"/>
  <c r="F11" i="15"/>
  <c r="M11" i="15"/>
  <c r="J10" i="15" s="1"/>
  <c r="F11" i="67"/>
  <c r="Q61" i="67"/>
  <c r="Q74" i="67"/>
  <c r="AE11" i="1"/>
  <c r="AE9" i="1"/>
  <c r="AE7" i="1"/>
  <c r="AE8" i="1"/>
  <c r="AE12" i="1"/>
  <c r="AE10" i="1"/>
  <c r="C16" i="15"/>
  <c r="F41" i="67"/>
  <c r="C16" i="67"/>
  <c r="G1" i="73"/>
  <c r="Q61" i="15" l="1"/>
  <c r="C49" i="15"/>
  <c r="J51" i="43"/>
  <c r="D51" i="43"/>
  <c r="J53" i="43"/>
  <c r="D53" i="43"/>
  <c r="J52" i="43"/>
  <c r="D52" i="43"/>
  <c r="J55" i="43"/>
  <c r="D55" i="43"/>
  <c r="J5" i="15"/>
  <c r="J24" i="15" s="1"/>
  <c r="Q60" i="15"/>
  <c r="Q52" i="15"/>
  <c r="F1" i="15"/>
  <c r="E16" i="6"/>
  <c r="AC6" i="3"/>
  <c r="E59" i="40"/>
  <c r="Q52" i="67"/>
  <c r="H6" i="3"/>
  <c r="D26" i="43"/>
  <c r="C25" i="43" s="1"/>
  <c r="C49" i="67"/>
  <c r="F28" i="12"/>
  <c r="C29" i="12" s="1"/>
  <c r="D28" i="12" s="1"/>
  <c r="F27" i="11"/>
  <c r="C29" i="11" s="1"/>
  <c r="D27" i="11" s="1"/>
  <c r="F27" i="68"/>
  <c r="C47" i="68" s="1"/>
  <c r="D45" i="68" s="1"/>
  <c r="AA10" i="39"/>
  <c r="F10" i="40"/>
  <c r="S10" i="40" s="1"/>
  <c r="F59" i="67"/>
  <c r="Q73" i="67"/>
  <c r="U7" i="36"/>
  <c r="H10" i="39"/>
  <c r="U10" i="39" s="1"/>
  <c r="H10" i="40"/>
  <c r="AB10" i="40" s="1"/>
  <c r="J10" i="40"/>
  <c r="AC10" i="40" s="1"/>
  <c r="F45" i="69"/>
  <c r="J10" i="39"/>
  <c r="W10" i="39" s="1"/>
  <c r="M17" i="67"/>
  <c r="C29" i="69"/>
  <c r="D27" i="69" s="1"/>
  <c r="J5" i="67"/>
  <c r="J24" i="67" s="1"/>
  <c r="E29" i="6"/>
  <c r="F30" i="6"/>
  <c r="F31" i="6" s="1"/>
  <c r="C26" i="71"/>
  <c r="D26" i="71" s="1"/>
  <c r="D27" i="71"/>
  <c r="R36" i="36"/>
  <c r="E3" i="6"/>
  <c r="D56" i="71"/>
  <c r="T56" i="71"/>
  <c r="T32" i="71"/>
  <c r="D32" i="71"/>
  <c r="T36" i="71"/>
  <c r="D36" i="71"/>
  <c r="T40" i="71"/>
  <c r="D40" i="71"/>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67"/>
  <c r="M27" i="15"/>
  <c r="E50" i="43" l="1"/>
  <c r="B48" i="43" s="1"/>
  <c r="C28" i="43" s="1"/>
  <c r="E6" i="3"/>
  <c r="AA10" i="40"/>
  <c r="W10" i="40"/>
  <c r="F45" i="68"/>
  <c r="C47" i="11"/>
  <c r="D45" i="11" s="1"/>
  <c r="C48" i="67"/>
  <c r="C66" i="67" s="1"/>
  <c r="C29" i="68"/>
  <c r="D27" i="68" s="1"/>
  <c r="AC10" i="39"/>
  <c r="AB10" i="39"/>
  <c r="F24" i="15"/>
  <c r="C24" i="15" s="1"/>
  <c r="F22" i="69"/>
  <c r="F41" i="69" s="1"/>
  <c r="F22" i="68"/>
  <c r="F41" i="68" s="1"/>
  <c r="F25" i="12"/>
  <c r="C26" i="12" s="1"/>
  <c r="D25" i="12" s="1"/>
  <c r="F22" i="11"/>
  <c r="C24" i="11" s="1"/>
  <c r="F24" i="67"/>
  <c r="C24" i="67" s="1"/>
  <c r="D116" i="43"/>
  <c r="K15" i="1"/>
  <c r="K16" i="1" s="1"/>
  <c r="E30" i="6"/>
  <c r="E31" i="6" s="1"/>
  <c r="E49" i="34"/>
  <c r="E54" i="34" s="1"/>
  <c r="F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7" i="67"/>
  <c r="C14" i="67"/>
  <c r="T9" i="43" l="1"/>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C33" i="43"/>
  <c r="E33" i="43" s="1"/>
  <c r="C60" i="67"/>
  <c r="H22" i="6"/>
  <c r="C26" i="69"/>
  <c r="D22" i="69" s="1"/>
  <c r="D30" i="6"/>
  <c r="H24" i="6"/>
  <c r="R24" i="6" s="1"/>
  <c r="R11" i="1" s="1"/>
  <c r="H21" i="6"/>
  <c r="C23" i="11"/>
  <c r="C44" i="11"/>
  <c r="D41" i="11" s="1"/>
  <c r="C44" i="69"/>
  <c r="D41" i="69" s="1"/>
  <c r="C26" i="68"/>
  <c r="D22" i="68" s="1"/>
  <c r="C44" i="68"/>
  <c r="D41" i="68" s="1"/>
  <c r="C26" i="11"/>
  <c r="D22" i="11" s="1"/>
  <c r="H25" i="6"/>
  <c r="E53" i="34"/>
  <c r="F53" i="34" s="1"/>
  <c r="C25" i="11"/>
  <c r="C16" i="7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41" i="43" l="1"/>
  <c r="I41" i="43" s="1"/>
  <c r="E41" i="43"/>
  <c r="E40" i="43"/>
  <c r="G40" i="43"/>
  <c r="I40" i="43" s="1"/>
  <c r="E38" i="43"/>
  <c r="G38" i="43"/>
  <c r="I38" i="43" s="1"/>
  <c r="G37" i="43"/>
  <c r="I37" i="43" s="1"/>
  <c r="E37" i="43"/>
  <c r="G39" i="43"/>
  <c r="I39" i="43" s="1"/>
  <c r="E39" i="43"/>
  <c r="C34" i="43"/>
  <c r="E34" i="43" s="1"/>
  <c r="E42" i="43"/>
  <c r="G42" i="43"/>
  <c r="I42" i="43" s="1"/>
  <c r="C18" i="12"/>
  <c r="E2" i="70"/>
  <c r="D31" i="6"/>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B3" i="76" l="1"/>
  <c r="C7" i="68"/>
  <c r="C5"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1" i="68" l="1"/>
  <c r="C52" i="68" s="1"/>
  <c r="C57" i="68" s="1"/>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4"/>
  <c r="D2" i="36"/>
  <c r="B2" i="68" l="1"/>
  <c r="B3"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0" i="1"/>
  <c r="AO12" i="1"/>
  <c r="AO9" i="1"/>
  <c r="AO11" i="1"/>
  <c r="AO8" i="1"/>
  <c r="AO7" i="1"/>
  <c r="C19" i="9"/>
  <c r="C21" i="9" l="1"/>
  <c r="C102" i="9"/>
  <c r="C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<sst xmlns="http://schemas.openxmlformats.org/spreadsheetml/2006/main" count="7855" uniqueCount="3430">
  <si>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</si>
  <si>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</si>
  <si>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</si>
  <si>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</si>
  <si>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</si>
  <si>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</si>
  <si>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</si>
  <si>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</si>
  <si>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</si>
  <si>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</si>
  <si>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</si>
  <si>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</si>
  <si>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</si>
  <si>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</si>
  <si>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</si>
  <si>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</si>
  <si>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</si>
  <si>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</si>
  <si>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</si>
  <si>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</si>
  <si>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</si>
  <si>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</si>
  <si>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</si>
  <si>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</si>
  <si>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</si>
  <si>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</si>
  <si>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</si>
  <si>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</si>
  <si>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</si>
  <si>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</si>
  <si>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</si>
  <si>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</si>
  <si>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</si>
  <si>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</si>
  <si>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</si>
  <si>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</si>
  <si>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</si>
  <si>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</si>
  <si>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</si>
  <si>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</si>
  <si>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</si>
  <si>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</si>
  <si>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</si>
  <si>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</si>
  <si>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</si>
  <si>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</si>
  <si>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</si>
  <si>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</si>
  <si>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</si>
  <si>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</si>
  <si>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</si>
  <si>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</si>
  <si>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</si>
  <si>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</si>
  <si>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</si>
  <si>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</si>
  <si>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</si>
  <si>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</si>
  <si>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</si>
  <si>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</si>
  <si>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</si>
  <si>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</si>
  <si>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</si>
  <si>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</si>
  <si>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</si>
  <si>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</si>
  <si>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</si>
  <si>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</si>
  <si>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</si>
  <si>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</si>
  <si>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</si>
  <si>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</si>
  <si>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</si>
  <si>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</si>
  <si>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</si>
  <si>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</si>
  <si>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</si>
  <si>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</si>
  <si>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</si>
  <si>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</si>
  <si>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</si>
  <si>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</si>
  <si>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</si>
  <si>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</si>
  <si>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</si>
  <si>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</si>
  <si>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</si>
  <si>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</si>
  <si>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</si>
  <si>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</si>
  <si>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</si>
  <si>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</si>
  <si>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</si>
  <si>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</si>
  <si>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</si>
  <si>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</si>
  <si>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</si>
  <si>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</si>
  <si>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</si>
  <si>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</si>
  <si>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</si>
  <si>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</si>
  <si>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</si>
  <si>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</si>
  <si>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</si>
  <si>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</si>
  <si>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</si>
  <si>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</si>
  <si>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</si>
  <si>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</si>
  <si>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</si>
  <si>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</si>
  <si>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</si>
  <si>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</si>
  <si>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</si>
  <si>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</si>
  <si>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</si>
  <si>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</si>
  <si>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</si>
  <si>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</si>
  <si>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</si>
  <si>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</si>
  <si>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</si>
  <si>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</si>
  <si>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</si>
  <si>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</si>
  <si>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</si>
  <si>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</si>
  <si>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</si>
  <si>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</si>
  <si>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</si>
  <si>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</si>
  <si>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</si>
  <si>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</si>
  <si>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</si>
  <si>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</si>
  <si>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</si>
  <si>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</si>
  <si>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</si>
  <si>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</si>
  <si>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</si>
  <si>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</si>
  <si>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</si>
  <si>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</si>
  <si>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</si>
  <si>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</si>
  <si>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</si>
  <si>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</si>
  <si>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</si>
  <si>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</si>
  <si>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</si>
  <si>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</si>
  <si>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</si>
  <si>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</si>
  <si>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</si>
  <si>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</si>
  <si>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</si>
  <si>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</si>
  <si>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</si>
  <si>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</si>
  <si>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</si>
  <si>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</si>
  <si>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</si>
  <si>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</si>
  <si>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</si>
  <si>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</si>
  <si>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</si>
  <si>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</si>
  <si>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</si>
  <si>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</si>
  <si>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</si>
  <si>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</si>
  <si>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</si>
  <si>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</si>
  <si>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</si>
  <si>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</si>
  <si>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</si>
  <si>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</si>
  <si>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</si>
  <si>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</si>
  <si>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</si>
  <si>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</si>
  <si>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</si>
  <si>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</si>
  <si>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</si>
  <si>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</si>
  <si>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</si>
  <si>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</si>
  <si>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</si>
  <si>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</si>
  <si>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</si>
  <si>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</si>
  <si>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</si>
  <si>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</si>
  <si>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</si>
  <si>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</si>
  <si>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</si>
  <si>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</si>
  <si>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</si>
  <si>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</si>
  <si>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</si>
  <si>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</si>
  <si>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</si>
  <si>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</si>
  <si>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</si>
  <si>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</si>
  <si>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</si>
  <si>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</si>
  <si>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</si>
  <si>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</si>
  <si>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</si>
  <si>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</si>
  <si>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</si>
  <si>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</si>
  <si>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</si>
  <si>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</si>
  <si>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</si>
  <si>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</si>
  <si>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</si>
  <si>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</si>
  <si>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</si>
  <si>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</si>
  <si>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</si>
  <si>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</si>
  <si>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</si>
  <si>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</si>
  <si>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</si>
  <si>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</si>
  <si>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</si>
  <si>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</si>
  <si>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</si>
  <si>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</si>
  <si>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</si>
  <si>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</si>
  <si>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</si>
  <si>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</si>
  <si>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</si>
  <si>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</si>
  <si>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</si>
  <si>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</si>
  <si>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</si>
  <si>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</si>
  <si>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</si>
  <si>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</si>
  <si>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</si>
  <si>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</si>
  <si>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</si>
  <si>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</si>
  <si>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</si>
  <si>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</si>
  <si>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</si>
  <si>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</si>
  <si>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</si>
  <si>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</si>
  <si>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</si>
  <si>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</si>
  <si>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</si>
  <si>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</si>
  <si>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</si>
  <si>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</si>
  <si>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</si>
  <si>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</si>
  <si>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</si>
  <si>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</si>
  <si>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</si>
  <si>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</si>
  <si>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</si>
  <si>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</si>
  <si>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</si>
  <si>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</si>
  <si>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</si>
  <si>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</si>
  <si>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</si>
  <si>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</si>
  <si>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</si>
  <si>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</si>
  <si>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</si>
  <si>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</si>
  <si>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</si>
  <si>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</si>
  <si>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</si>
  <si>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</si>
  <si>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</si>
  <si>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</si>
  <si>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</si>
  <si>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</si>
  <si>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</si>
  <si>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</si>
  <si>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</si>
  <si>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</si>
  <si>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</si>
  <si>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</si>
  <si>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</si>
  <si>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</si>
  <si>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</si>
  <si>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</si>
  <si>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</si>
  <si>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</si>
  <si>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</si>
  <si>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</si>
  <si>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</si>
  <si>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</si>
  <si>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</si>
  <si>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</si>
  <si>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</si>
  <si>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</si>
  <si>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</si>
  <si>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</si>
  <si>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</si>
  <si>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</si>
  <si>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</si>
  <si>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</si>
  <si>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</si>
  <si>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</si>
  <si>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</si>
  <si>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</si>
  <si>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</si>
  <si>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</si>
  <si>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</si>
  <si>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</si>
  <si>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</si>
  <si>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</si>
  <si>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</si>
  <si>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</si>
  <si>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</si>
  <si>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</si>
  <si>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</si>
  <si>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</si>
  <si>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</si>
  <si>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</si>
  <si>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</si>
  <si>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</si>
  <si>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</si>
  <si>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</si>
  <si>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</si>
  <si>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</si>
  <si>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</si>
  <si>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</si>
  <si>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</si>
  <si>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</si>
  <si>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</si>
  <si>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</si>
  <si>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</si>
  <si>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</si>
  <si>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</si>
  <si>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</si>
  <si>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</si>
  <si>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</si>
  <si>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</si>
  <si>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</si>
  <si>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</si>
  <si>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</si>
  <si>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</si>
  <si>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</si>
  <si>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</si>
  <si>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</si>
  <si>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</si>
  <si>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</si>
  <si>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</si>
  <si>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</si>
  <si>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</si>
  <si>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</si>
  <si>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</si>
  <si>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</si>
  <si>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</si>
  <si>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</si>
  <si>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</si>
  <si>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</si>
  <si>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</si>
  <si>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</si>
  <si>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</si>
  <si>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</si>
  <si>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</si>
  <si>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</si>
  <si>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</si>
  <si>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</si>
  <si>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</si>
  <si>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</si>
  <si>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</si>
  <si>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</si>
  <si>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</si>
  <si>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</si>
  <si>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</si>
  <si>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</si>
  <si>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</si>
  <si>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</si>
  <si>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</si>
  <si>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</si>
  <si>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</si>
  <si>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</si>
  <si>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</si>
  <si>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</si>
  <si>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</si>
  <si>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</si>
  <si>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</si>
  <si>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</si>
  <si>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</si>
  <si>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</si>
  <si>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</si>
  <si>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</si>
  <si>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</si>
  <si>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</si>
  <si>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</si>
  <si>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</si>
  <si>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</si>
  <si>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</si>
  <si>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</si>
  <si>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</si>
  <si>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</si>
  <si>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</si>
  <si>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</si>
  <si>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</si>
  <si>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</si>
  <si>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</si>
  <si>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</si>
  <si>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</si>
  <si>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</si>
  <si>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</si>
  <si>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</si>
  <si>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</si>
  <si>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</si>
  <si>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</si>
  <si>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</si>
  <si>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</si>
  <si>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</si>
  <si>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</si>
  <si>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</si>
  <si>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</si>
  <si>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</si>
  <si>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</si>
  <si>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</si>
  <si>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</si>
  <si>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</si>
  <si>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</si>
  <si>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</si>
  <si>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</si>
  <si>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</si>
  <si>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</si>
  <si>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</si>
  <si>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</si>
  <si>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</si>
  <si>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</si>
  <si>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</si>
  <si>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</si>
  <si>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</si>
  <si>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</si>
  <si>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</si>
  <si>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</si>
  <si>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</si>
  <si>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</si>
  <si>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</si>
  <si>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</si>
  <si>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</si>
  <si>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</si>
  <si>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</si>
  <si>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</si>
  <si>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</si>
  <si>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</si>
  <si>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</si>
  <si>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</si>
  <si>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</si>
  <si>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</si>
  <si>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</si>
  <si>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</si>
  <si>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</si>
  <si>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</si>
  <si>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</si>
  <si>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</si>
  <si>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</si>
  <si>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</si>
  <si>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</si>
  <si>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</si>
  <si>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</si>
  <si>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</si>
  <si>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</si>
  <si>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</si>
  <si>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</si>
  <si>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</si>
  <si>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</si>
  <si>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</si>
  <si>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</si>
  <si>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</si>
  <si>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</si>
  <si>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</si>
  <si>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</si>
  <si>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</si>
  <si>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</si>
  <si>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</si>
  <si>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</si>
  <si>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</si>
  <si>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</si>
  <si>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</si>
  <si>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</si>
  <si>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</si>
  <si>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</si>
  <si>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</si>
  <si>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</si>
  <si>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</si>
  <si>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</si>
  <si>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</si>
  <si>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</si>
  <si>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</si>
  <si>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</si>
  <si>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</si>
  <si>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</si>
  <si>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</si>
  <si>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</si>
  <si>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</si>
  <si>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</si>
  <si>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</si>
  <si>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</si>
  <si>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</si>
  <si>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</si>
  <si>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</si>
  <si>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</si>
  <si>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</si>
  <si>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</si>
  <si>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</si>
  <si>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</si>
  <si>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</si>
  <si>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</si>
  <si>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</si>
  <si>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</si>
  <si>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</si>
  <si>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</si>
  <si>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</si>
  <si>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</si>
  <si>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</si>
  <si>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</si>
  <si>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</si>
  <si>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</si>
  <si>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</si>
  <si>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</si>
  <si>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</si>
  <si>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</si>
  <si>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</si>
  <si>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</si>
  <si>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</si>
  <si>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</si>
  <si>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</si>
  <si>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</si>
  <si>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</si>
  <si>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</si>
  <si>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</si>
  <si>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</si>
  <si>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</si>
  <si>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</si>
  <si>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</si>
  <si>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</si>
  <si>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</si>
  <si>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</si>
  <si>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</si>
  <si>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</si>
  <si>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</si>
  <si>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</si>
  <si>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</si>
  <si>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</si>
  <si>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</si>
  <si>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</si>
  <si>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</si>
  <si>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</si>
  <si>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</si>
  <si>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</si>
  <si>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</si>
  <si>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</si>
  <si>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</si>
  <si>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</si>
  <si>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</si>
  <si>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</si>
  <si>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</si>
  <si>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</si>
  <si>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</si>
  <si>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</si>
  <si>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</si>
  <si>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</si>
  <si>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</si>
  <si>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</si>
  <si>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</si>
  <si>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</si>
  <si>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</si>
  <si>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</si>
  <si>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</si>
  <si>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</si>
  <si>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</si>
  <si>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</si>
  <si>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</si>
  <si>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</si>
  <si>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</si>
  <si>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</si>
  <si>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</si>
  <si>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</si>
  <si>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</si>
  <si>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</si>
  <si>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</si>
  <si>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</si>
  <si>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</si>
  <si>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</si>
  <si>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</si>
  <si>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</si>
  <si>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</si>
  <si>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</si>
  <si>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</si>
  <si>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</si>
  <si>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</si>
  <si>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</si>
  <si>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</si>
  <si>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</si>
  <si>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</si>
  <si>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</si>
  <si>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</si>
  <si>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</si>
  <si>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</si>
  <si>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</si>
  <si>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</si>
  <si>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</si>
  <si>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</si>
  <si>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</si>
  <si>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</si>
  <si>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</si>
  <si>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</si>
  <si>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</si>
  <si>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</si>
  <si>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</si>
  <si>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</si>
  <si>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</si>
  <si>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</si>
  <si>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</si>
  <si>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</si>
  <si>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</si>
  <si>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</si>
  <si>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</si>
  <si>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</si>
  <si>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</si>
  <si>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</si>
  <si>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</si>
  <si>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</si>
  <si>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</si>
  <si>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</si>
  <si>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</si>
  <si>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</si>
  <si>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</si>
  <si>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</si>
  <si>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</si>
  <si>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</si>
  <si>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</si>
  <si>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</si>
  <si>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</si>
  <si>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</si>
  <si>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</si>
  <si>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</si>
  <si>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</si>
  <si>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</si>
  <si>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</si>
  <si>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</si>
  <si>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</si>
  <si>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</si>
  <si>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</si>
  <si>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</si>
  <si>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</si>
  <si>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</si>
  <si>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</si>
  <si>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</si>
  <si>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</si>
  <si>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</si>
  <si>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</si>
  <si>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</si>
  <si>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</si>
  <si>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</si>
  <si>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</si>
  <si>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</si>
  <si>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</si>
  <si>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</si>
  <si>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</si>
  <si>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</si>
  <si>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</si>
  <si>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</si>
  <si>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</si>
  <si>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</si>
  <si>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</si>
  <si>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</si>
  <si>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</si>
  <si>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</si>
  <si>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</si>
  <si>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</si>
  <si>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</si>
  <si>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</si>
  <si>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</si>
  <si>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</si>
  <si>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</si>
  <si>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</si>
  <si>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</si>
  <si>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</si>
  <si>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</si>
  <si>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</si>
  <si>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</si>
  <si>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</si>
  <si>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</si>
  <si>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</si>
  <si>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</si>
  <si>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</si>
  <si>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</si>
  <si>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</si>
  <si>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</si>
  <si>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</si>
  <si>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</si>
  <si>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</si>
  <si>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</si>
  <si>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</si>
  <si>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</si>
  <si>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</si>
  <si>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</si>
  <si>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</si>
  <si>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</si>
  <si>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</si>
  <si>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</si>
  <si>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</si>
  <si>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</si>
  <si>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</si>
  <si>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</si>
  <si>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</si>
  <si>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</si>
  <si>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</si>
  <si>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</si>
  <si>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</si>
  <si>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</si>
  <si>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</si>
  <si>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</si>
  <si>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</si>
  <si>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</si>
  <si>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</si>
  <si>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</si>
  <si>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</si>
  <si>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</si>
  <si>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</si>
  <si>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</si>
  <si>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</si>
  <si>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</si>
  <si>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</si>
  <si>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</si>
  <si>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</si>
  <si>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</si>
  <si>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</si>
  <si>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</si>
  <si>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</si>
  <si>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</si>
  <si>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</si>
  <si>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</si>
  <si>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</si>
  <si>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</si>
  <si>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</si>
  <si>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</si>
  <si>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</si>
  <si>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</si>
  <si>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</si>
  <si>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</si>
  <si>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</si>
  <si>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</si>
  <si>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</si>
  <si>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</si>
  <si>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</si>
  <si>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</si>
  <si>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</si>
  <si>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</si>
  <si>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</si>
  <si>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</si>
  <si>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</si>
  <si>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</si>
  <si>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</si>
  <si>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</si>
  <si>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</si>
  <si>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</si>
  <si>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</si>
  <si>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</si>
  <si>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</si>
  <si>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</si>
  <si>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</si>
  <si>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</si>
  <si>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</si>
  <si>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</si>
  <si>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</si>
  <si>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</si>
  <si>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</si>
  <si>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</si>
  <si>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</si>
  <si>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</si>
  <si>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</si>
  <si>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</si>
  <si>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</si>
  <si>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</si>
  <si>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</si>
  <si>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</si>
  <si>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</si>
  <si>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</si>
  <si>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</si>
  <si>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</si>
  <si>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</si>
  <si>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</si>
  <si>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</si>
  <si>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</si>
  <si>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</si>
  <si>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</si>
  <si>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</si>
  <si>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</si>
  <si>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</si>
  <si>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</si>
  <si>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</si>
  <si>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</si>
  <si>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</si>
  <si>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</si>
  <si>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</si>
  <si>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</si>
  <si>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</si>
  <si>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</si>
  <si>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</si>
  <si>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</si>
  <si>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</si>
  <si>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</si>
  <si>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</si>
  <si>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</si>
  <si>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</si>
  <si>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</si>
  <si>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</si>
  <si>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</si>
  <si>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</si>
  <si>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</si>
  <si>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</si>
  <si>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</si>
  <si>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</si>
  <si>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</si>
  <si>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</si>
  <si>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</si>
  <si>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</si>
  <si>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</si>
  <si>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</si>
  <si>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</si>
  <si>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</si>
  <si>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</si>
  <si>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</si>
  <si>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</si>
  <si>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</si>
  <si>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</si>
  <si>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</si>
  <si>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</si>
  <si>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</si>
  <si>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</si>
  <si>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</si>
  <si>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</si>
  <si>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</si>
  <si>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</si>
  <si>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</si>
  <si>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</si>
  <si>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</si>
  <si>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</si>
  <si>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</si>
  <si>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</si>
  <si>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</si>
  <si>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</si>
  <si>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</si>
  <si>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</si>
  <si>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</si>
  <si>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</si>
  <si>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</si>
  <si>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</si>
  <si>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</si>
  <si>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</si>
  <si>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</si>
  <si>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</si>
  <si>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</si>
  <si>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</si>
  <si>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</si>
  <si>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</si>
  <si>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</si>
  <si>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</si>
  <si>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</si>
  <si>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</si>
  <si>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</si>
  <si>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</si>
  <si>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</si>
  <si>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</si>
  <si>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</si>
  <si>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</si>
  <si>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</si>
  <si>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</si>
  <si>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</si>
  <si>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</si>
  <si>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</si>
  <si>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</si>
  <si>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</si>
  <si>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</si>
  <si>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</si>
  <si>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</si>
  <si>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</si>
  <si>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</si>
  <si>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</si>
  <si>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</si>
  <si>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</si>
  <si>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</si>
  <si>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</si>
  <si>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</si>
  <si>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</si>
  <si>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</si>
  <si>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</si>
  <si>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</si>
  <si>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</si>
  <si>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</si>
  <si>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</si>
  <si>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</si>
  <si>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</si>
  <si>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</si>
  <si>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</si>
  <si>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</si>
  <si>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</si>
  <si>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</si>
  <si>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</si>
  <si>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</si>
  <si>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</si>
  <si>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</si>
  <si>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</si>
  <si>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</si>
  <si>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</si>
  <si>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</si>
  <si>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</si>
  <si>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</si>
  <si>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</si>
  <si>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</si>
  <si>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</si>
  <si>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</si>
  <si>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</si>
  <si>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</si>
  <si>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</si>
  <si>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</si>
  <si>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</si>
  <si>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</si>
  <si>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</si>
  <si>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</si>
  <si>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</si>
  <si>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</si>
  <si>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</si>
  <si>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</si>
  <si>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</si>
  <si>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</si>
  <si>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</si>
  <si>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</si>
  <si>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</si>
  <si>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</si>
  <si>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</si>
  <si>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</si>
  <si>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</si>
  <si>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</si>
  <si>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</si>
  <si>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</si>
  <si>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</si>
  <si>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</si>
  <si>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</si>
  <si>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</si>
  <si>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</si>
  <si>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</si>
  <si>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</si>
  <si>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</si>
  <si>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</si>
  <si>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</si>
  <si>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</si>
  <si>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</si>
  <si>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</si>
  <si>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</si>
  <si>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</si>
  <si>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</si>
  <si>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</si>
  <si>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</si>
  <si>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</si>
  <si>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</si>
  <si>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</si>
  <si>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</si>
  <si>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</si>
  <si>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</si>
  <si>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</si>
  <si>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</si>
  <si>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</si>
  <si>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</si>
  <si>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</si>
  <si>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</si>
  <si>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</si>
  <si>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</si>
  <si>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</si>
  <si>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</si>
  <si>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</si>
  <si>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</si>
  <si>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</si>
  <si>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</si>
  <si>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</si>
  <si>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</si>
  <si>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</si>
  <si>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</si>
  <si>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</si>
  <si>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</si>
  <si>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</si>
  <si>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</si>
  <si>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</si>
  <si>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</si>
  <si>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</si>
  <si>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</si>
  <si>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</si>
  <si>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</si>
  <si>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</si>
  <si>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</si>
  <si>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</si>
  <si>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</si>
  <si>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</si>
  <si>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</si>
  <si>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</si>
  <si>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</si>
  <si>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</si>
  <si>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</si>
  <si>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</si>
  <si>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</si>
  <si>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</si>
  <si>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</si>
  <si>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</si>
  <si>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</si>
  <si>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</si>
  <si>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</si>
  <si>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</si>
  <si>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</si>
  <si>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</si>
  <si>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</si>
  <si>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</si>
  <si>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</si>
  <si>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</si>
  <si>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</si>
  <si>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</si>
  <si>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</si>
  <si>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</si>
  <si>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</si>
  <si>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</si>
  <si>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</si>
  <si>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</si>
  <si>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</si>
  <si>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</si>
  <si>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</si>
  <si>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</si>
  <si>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</si>
  <si>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</si>
  <si>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</si>
  <si>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</si>
  <si>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</si>
  <si>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</si>
  <si>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</si>
  <si>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</si>
  <si>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</si>
  <si>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</si>
  <si>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</si>
  <si>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</si>
  <si>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</si>
  <si>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</si>
  <si>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</si>
  <si>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</si>
  <si>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</si>
  <si>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</si>
  <si>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</si>
  <si>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</si>
  <si>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</si>
  <si>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</si>
  <si>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</si>
  <si>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</si>
  <si>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</si>
  <si>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</si>
  <si>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</si>
  <si>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</si>
  <si>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</si>
  <si>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</si>
  <si>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</si>
  <si>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</si>
  <si>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</si>
  <si>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</si>
  <si>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</si>
  <si>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</si>
  <si>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</si>
  <si>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</si>
  <si>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</si>
  <si>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</si>
  <si>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</si>
  <si>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</si>
  <si>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</si>
  <si>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</si>
  <si>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</si>
  <si>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</si>
  <si>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</si>
  <si>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</si>
  <si>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</si>
  <si>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</si>
  <si>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</si>
  <si>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</si>
  <si>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</si>
  <si>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</si>
  <si>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</si>
  <si>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</si>
  <si>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</si>
  <si>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</si>
  <si>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</si>
  <si>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</si>
  <si>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</si>
  <si>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</si>
  <si>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</si>
  <si>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</si>
  <si>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</si>
  <si>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</si>
  <si>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</si>
  <si>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</si>
  <si>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</si>
  <si>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</si>
  <si>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</si>
  <si>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</si>
  <si>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</si>
  <si>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</si>
  <si>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</si>
  <si>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</si>
  <si>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</si>
  <si>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</si>
  <si>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</si>
  <si>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</si>
  <si>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</si>
  <si>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</si>
  <si>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</si>
  <si>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</si>
  <si>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</si>
  <si>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</si>
  <si>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</si>
  <si>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</si>
  <si>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</si>
  <si>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</si>
  <si>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</si>
  <si>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</si>
  <si>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</si>
  <si>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</si>
  <si>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</si>
  <si>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</si>
  <si>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</si>
  <si>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</si>
  <si>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</si>
  <si>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</si>
  <si>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</si>
  <si>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</si>
  <si>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</si>
  <si>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</si>
  <si>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</si>
  <si>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</si>
  <si>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</si>
  <si>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</si>
  <si>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</si>
  <si>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</si>
  <si>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</si>
  <si>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</si>
  <si>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</si>
  <si>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</si>
  <si>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</si>
  <si>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</si>
  <si>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</si>
  <si>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</si>
  <si>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</si>
  <si>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</si>
  <si>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</si>
  <si>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</si>
  <si>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</si>
  <si>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</si>
  <si>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</si>
  <si>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</si>
  <si>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</si>
  <si>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</si>
  <si>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</si>
  <si>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</si>
  <si>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</si>
  <si>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</si>
  <si>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</si>
  <si>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</si>
  <si>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</si>
  <si>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</si>
  <si>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</si>
  <si>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</si>
  <si>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</si>
  <si>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</si>
  <si>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</si>
  <si>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</si>
  <si>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</si>
  <si>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</si>
  <si>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</si>
  <si>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</si>
  <si>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</si>
  <si>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</si>
  <si>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</si>
  <si>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</si>
  <si>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</si>
  <si>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</si>
  <si>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</si>
  <si>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</si>
  <si>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</si>
  <si>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</si>
  <si>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</si>
  <si>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</si>
  <si>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</si>
  <si>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</si>
  <si>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</si>
  <si>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</si>
  <si>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</si>
  <si>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</si>
  <si>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</si>
  <si>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</si>
  <si>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</si>
  <si>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</si>
  <si>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</si>
  <si>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</si>
  <si>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</si>
  <si>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</si>
  <si>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</si>
  <si>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</si>
  <si>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</si>
  <si>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</si>
  <si>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</si>
  <si>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</si>
  <si>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</si>
  <si>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</si>
  <si>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</si>
  <si>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</si>
  <si>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</si>
  <si>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</si>
  <si>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</si>
  <si>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</si>
  <si>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</si>
  <si>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</si>
  <si>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</si>
  <si>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</si>
  <si>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</si>
  <si>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</si>
  <si>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</si>
  <si>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</si>
  <si>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</si>
  <si>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</si>
  <si>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</si>
  <si>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</si>
  <si>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</si>
  <si>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</si>
  <si>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</si>
  <si>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</si>
  <si>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</si>
  <si>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</si>
  <si>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</si>
  <si>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</si>
  <si>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</si>
  <si>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</si>
  <si>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</si>
  <si>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</si>
  <si>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</si>
  <si>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</si>
  <si>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</si>
  <si>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</si>
  <si>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</si>
  <si>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</si>
  <si>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</si>
  <si>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</si>
  <si>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</si>
  <si>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</si>
  <si>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</si>
  <si>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</si>
  <si>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</si>
  <si>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</si>
  <si>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</si>
  <si>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</si>
  <si>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</si>
  <si>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</si>
  <si>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</si>
  <si>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</si>
  <si>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</si>
  <si>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</si>
  <si>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</si>
  <si>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</si>
  <si>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</si>
  <si>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</si>
  <si>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</si>
  <si>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</si>
  <si>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</si>
  <si>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</si>
  <si>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</si>
  <si>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</si>
  <si>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</si>
  <si>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</si>
  <si>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</si>
  <si>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</si>
  <si>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</si>
  <si>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</si>
  <si>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</si>
  <si>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</si>
  <si>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</si>
  <si>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</si>
  <si>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</si>
  <si>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</si>
  <si>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</si>
  <si>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</si>
  <si>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</si>
  <si>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</si>
  <si>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</si>
  <si>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</si>
  <si>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</si>
  <si>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</si>
  <si>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</si>
  <si>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</si>
  <si>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</si>
  <si>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</si>
  <si>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</si>
  <si>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</si>
  <si>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</si>
  <si>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</si>
  <si>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</si>
  <si>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</si>
  <si>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</si>
  <si>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</si>
  <si>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</si>
  <si>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</si>
  <si>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</si>
  <si>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</si>
  <si>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</si>
  <si>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</si>
  <si>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</si>
  <si>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</si>
  <si>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</si>
  <si>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</si>
  <si>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</si>
  <si>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</si>
  <si>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</si>
  <si>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</si>
  <si>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</si>
  <si>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</si>
  <si>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</si>
  <si>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</si>
  <si>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</si>
  <si>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</si>
  <si>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</si>
  <si>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</si>
  <si>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</si>
  <si>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</si>
  <si>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</si>
  <si>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</si>
  <si>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</si>
  <si>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</si>
  <si>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</si>
  <si>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</si>
  <si>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</si>
  <si>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</si>
  <si>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</si>
  <si>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</si>
  <si>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</si>
  <si>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</si>
  <si>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</si>
  <si>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</si>
  <si>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</si>
  <si>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</si>
  <si>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</si>
  <si>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</si>
  <si>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</si>
  <si>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</si>
  <si>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</si>
  <si>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</si>
  <si>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</si>
  <si>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</si>
  <si>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</si>
  <si>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</si>
  <si>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</si>
  <si>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</si>
  <si>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</si>
  <si>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</si>
  <si>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</si>
  <si>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</si>
  <si>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</si>
  <si>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</si>
  <si>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</si>
  <si>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</si>
  <si>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</si>
  <si>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</si>
  <si>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</si>
  <si>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</si>
  <si>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</si>
  <si>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</si>
  <si>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</si>
  <si>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</si>
  <si>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</si>
  <si>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</si>
  <si>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</si>
  <si>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</si>
  <si>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</si>
  <si>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</si>
  <si>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</si>
  <si>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</si>
  <si>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</si>
  <si>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</si>
  <si>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</si>
  <si>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</si>
  <si>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</si>
  <si>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</si>
  <si>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</si>
  <si>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</si>
  <si>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</si>
  <si>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</si>
  <si>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</si>
  <si>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</si>
  <si>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</si>
  <si>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</si>
  <si>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</si>
  <si>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</si>
  <si>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</si>
  <si>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</si>
  <si>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</si>
  <si>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</si>
  <si>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</si>
  <si>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</si>
  <si>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</si>
  <si>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</si>
  <si>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</si>
  <si>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</si>
  <si>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</si>
  <si>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</si>
  <si>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</si>
  <si>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</si>
  <si>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</si>
  <si>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</si>
  <si>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</si>
  <si>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</si>
  <si>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</si>
  <si>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</si>
  <si>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</si>
  <si>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</si>
  <si>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</si>
  <si>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</si>
  <si>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</si>
  <si>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</si>
  <si>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</si>
  <si>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</si>
  <si>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</si>
  <si>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</si>
  <si>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</si>
  <si>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</si>
  <si>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</si>
  <si>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</si>
  <si>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</si>
  <si>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</si>
  <si>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</si>
  <si>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</si>
  <si>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</si>
  <si>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</si>
  <si>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</si>
  <si>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</si>
  <si>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</si>
  <si>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</si>
  <si>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</si>
  <si>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</si>
  <si>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</si>
  <si>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</si>
  <si>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</si>
  <si>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</si>
  <si>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</si>
  <si>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</si>
  <si>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</si>
  <si>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</si>
  <si>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</si>
  <si>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</si>
  <si>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</si>
  <si>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</si>
  <si>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</si>
  <si>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</si>
  <si>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</si>
  <si>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</si>
  <si>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</si>
  <si>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</si>
  <si>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</si>
  <si>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</si>
  <si>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</si>
  <si>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</si>
  <si>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</si>
  <si>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</si>
  <si>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</si>
  <si>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</si>
  <si>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</si>
  <si>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</si>
  <si>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</si>
  <si>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</si>
  <si>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</si>
  <si>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</si>
  <si>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</si>
  <si>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</si>
  <si>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</si>
  <si>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</si>
  <si>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</si>
  <si>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</si>
  <si>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</si>
  <si>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</si>
  <si>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</si>
  <si>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</si>
  <si>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</si>
  <si>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</si>
  <si>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</si>
  <si>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</si>
  <si>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</si>
  <si>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</si>
  <si>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</si>
  <si>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</si>
  <si>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</si>
  <si>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</si>
  <si>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</si>
  <si>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</si>
  <si>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</si>
  <si>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</si>
  <si>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</si>
  <si>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</si>
  <si>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</si>
  <si>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</si>
  <si>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</si>
  <si>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</si>
  <si>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</si>
  <si>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</si>
  <si>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</si>
  <si>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</si>
  <si>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</si>
  <si>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</si>
  <si>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</si>
  <si>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</si>
  <si>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</si>
  <si>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</si>
  <si>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</si>
  <si>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</si>
  <si>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</si>
  <si>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</si>
  <si>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</si>
  <si>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</si>
  <si>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</si>
  <si>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</si>
  <si>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</si>
  <si>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</si>
  <si>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</si>
  <si>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</si>
  <si>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</si>
  <si>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</si>
  <si>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</si>
  <si>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</si>
  <si>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</si>
  <si>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</si>
  <si>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</si>
  <si>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</si>
  <si>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</si>
  <si>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</si>
  <si>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</si>
  <si>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</si>
  <si>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</si>
  <si>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</si>
  <si>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</si>
  <si>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</si>
  <si>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</si>
  <si>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</si>
  <si>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</si>
  <si>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</si>
  <si>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</si>
  <si>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</si>
  <si>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</si>
  <si>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</si>
  <si>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</si>
  <si>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</si>
  <si>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</si>
  <si>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</si>
  <si>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</si>
  <si>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</si>
  <si>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</si>
  <si>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</si>
  <si>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</si>
  <si>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</si>
  <si>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</si>
  <si>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</si>
  <si>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</si>
  <si>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</si>
  <si>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</si>
  <si>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</si>
  <si>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</si>
  <si>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</si>
  <si>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</si>
  <si>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</si>
  <si>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</si>
  <si>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</si>
  <si>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</si>
  <si>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</si>
  <si>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</si>
  <si>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</si>
  <si>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</si>
  <si>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</si>
  <si>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</si>
  <si>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</si>
  <si>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</si>
  <si>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</si>
  <si>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</si>
  <si>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</si>
  <si>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</si>
  <si>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</si>
  <si>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</si>
  <si>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</si>
  <si>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</si>
  <si>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</si>
  <si>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</si>
  <si>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</si>
  <si>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</si>
  <si>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</si>
  <si>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</si>
  <si>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</si>
  <si>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</si>
  <si>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</si>
  <si>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</si>
  <si>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</si>
  <si>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</si>
  <si>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</si>
  <si>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</si>
  <si>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</si>
  <si>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</si>
  <si>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</si>
  <si>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</si>
  <si>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</si>
  <si>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</si>
  <si>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</si>
  <si>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</si>
  <si>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</si>
  <si>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</si>
  <si>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</si>
  <si>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</si>
  <si>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</si>
  <si>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</si>
  <si>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</si>
  <si>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</si>
  <si>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</si>
  <si>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</si>
  <si>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</si>
  <si>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</si>
  <si>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</si>
  <si>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</si>
  <si>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</si>
  <si>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</si>
  <si>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</si>
  <si>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</si>
  <si>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</si>
  <si>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</si>
  <si>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</si>
  <si>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</si>
  <si>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</si>
  <si>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</si>
  <si>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</si>
  <si>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</si>
  <si>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</si>
  <si>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</si>
  <si>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</si>
  <si>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</si>
  <si>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</si>
  <si>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</si>
  <si>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</si>
  <si>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</si>
  <si>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</si>
  <si>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</si>
  <si>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</si>
  <si>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</si>
  <si>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</si>
  <si>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</si>
  <si>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</si>
  <si>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</si>
  <si>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</si>
  <si>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</si>
  <si>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</si>
  <si>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</si>
  <si>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</si>
  <si>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</si>
  <si>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</si>
  <si>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</si>
  <si>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</si>
  <si>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</si>
  <si>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</si>
  <si>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</si>
  <si>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</si>
  <si>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</si>
  <si>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</si>
  <si>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</si>
  <si>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</si>
  <si>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</si>
  <si>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</si>
  <si>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</si>
  <si>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</si>
  <si>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</si>
  <si>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</si>
  <si>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</si>
  <si>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</si>
  <si>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</si>
  <si>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</si>
  <si>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</si>
  <si>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</si>
  <si>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</si>
  <si>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</si>
  <si>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</si>
  <si>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</si>
  <si>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</si>
  <si>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</si>
  <si>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</si>
  <si>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</si>
  <si>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</si>
  <si>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</si>
  <si>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</si>
  <si>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</si>
  <si>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</si>
  <si>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</si>
  <si>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</si>
  <si>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</si>
  <si>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</si>
  <si>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</si>
  <si>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</si>
  <si>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</si>
  <si>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</si>
  <si>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</si>
  <si>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</si>
  <si>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</si>
  <si>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</si>
  <si>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</si>
  <si>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</si>
  <si>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</si>
  <si>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</si>
  <si>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</si>
  <si>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</si>
  <si>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</si>
  <si>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</si>
  <si>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</si>
  <si>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</si>
  <si>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</si>
  <si>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</si>
  <si>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</si>
  <si>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</si>
  <si>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</si>
  <si>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</si>
  <si>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</si>
  <si>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</si>
  <si>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</si>
  <si>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</si>
  <si>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</si>
  <si>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</si>
  <si>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</si>
  <si>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</si>
  <si>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</si>
  <si>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</si>
  <si>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</si>
  <si>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</si>
  <si>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</si>
  <si>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</si>
  <si>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</si>
  <si>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</si>
  <si>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</si>
  <si>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</si>
  <si>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</si>
  <si>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</si>
  <si>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</si>
  <si>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</si>
  <si>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</si>
  <si>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</si>
  <si>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</si>
  <si>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</si>
  <si>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</si>
  <si>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</si>
  <si>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</si>
  <si>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</si>
  <si>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</si>
  <si>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</si>
  <si>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</si>
  <si>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</si>
  <si>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</si>
  <si>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</si>
  <si>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</si>
  <si>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</si>
  <si>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</si>
  <si>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</si>
  <si>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</si>
  <si>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</si>
  <si>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</si>
  <si>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</si>
  <si>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</si>
  <si>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</si>
  <si>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</si>
  <si>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</si>
  <si>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</si>
  <si>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</si>
  <si>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</si>
  <si>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</si>
  <si>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</si>
  <si>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</si>
  <si>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</si>
  <si>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</si>
  <si>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</si>
  <si>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</si>
  <si>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</si>
  <si>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</si>
  <si>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</si>
  <si>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</si>
  <si>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</si>
  <si>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</si>
  <si>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</si>
  <si>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</si>
  <si>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</si>
  <si>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</si>
  <si>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</si>
  <si>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</si>
  <si>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</si>
  <si>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</si>
  <si>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</si>
  <si>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</si>
  <si>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</si>
  <si>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</si>
  <si>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</si>
  <si>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</si>
  <si>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</si>
  <si>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</si>
  <si>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</si>
  <si>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</si>
  <si>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</si>
  <si>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</si>
  <si>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</si>
  <si>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</si>
  <si>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</si>
  <si>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</si>
  <si>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</si>
  <si>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</si>
  <si>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</si>
  <si>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</si>
  <si>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</si>
  <si>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</si>
  <si>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</si>
  <si>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</si>
  <si>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</si>
  <si>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</si>
  <si>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</si>
  <si>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</si>
  <si>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</si>
  <si>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</si>
  <si>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</si>
  <si>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</si>
  <si>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</si>
  <si>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</si>
  <si>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</si>
  <si>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</si>
  <si>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</si>
  <si>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</si>
  <si>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</si>
  <si>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</si>
  <si>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</si>
  <si>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</si>
  <si>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</si>
  <si>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</si>
  <si>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</si>
  <si>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</si>
  <si>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</si>
  <si>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</si>
  <si>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</si>
  <si>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</si>
  <si>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</si>
  <si>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</si>
  <si>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</si>
  <si>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</si>
  <si>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</si>
  <si>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</si>
  <si>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</si>
  <si>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</si>
  <si>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</si>
  <si>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</si>
  <si>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</si>
  <si>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</si>
  <si>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</si>
  <si>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</si>
  <si>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</si>
  <si>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</si>
  <si>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</si>
  <si>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</si>
  <si>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</si>
  <si>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</si>
  <si>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</si>
  <si>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</si>
  <si>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</si>
  <si>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</si>
  <si>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</si>
  <si>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</si>
  <si>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</si>
  <si>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</si>
  <si>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</si>
  <si>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</si>
  <si>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</si>
  <si>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</si>
  <si>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</si>
  <si>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</si>
  <si>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</si>
  <si>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</si>
  <si>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</si>
  <si>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</si>
  <si>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</si>
  <si>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</si>
  <si>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</si>
  <si>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</si>
  <si>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</si>
  <si>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</si>
  <si>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</si>
  <si>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</si>
  <si>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</si>
  <si>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</si>
  <si>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</si>
  <si>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</si>
  <si>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</si>
  <si>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</si>
  <si>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</si>
  <si>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</si>
  <si>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</si>
  <si>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</si>
  <si>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</si>
  <si>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</si>
  <si>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</si>
  <si>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</si>
  <si>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</si>
  <si>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</si>
  <si>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</si>
  <si>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</si>
  <si>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</si>
  <si>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</si>
  <si>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</si>
  <si>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</si>
  <si>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</si>
  <si>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</si>
  <si>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</si>
  <si>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</si>
  <si>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</si>
  <si>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</si>
  <si>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</si>
  <si>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</si>
  <si>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</si>
  <si>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</si>
  <si>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</si>
  <si>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</si>
  <si>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</si>
  <si>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</si>
  <si>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</si>
  <si>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</si>
  <si>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</si>
  <si>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</si>
  <si>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</si>
  <si>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</si>
  <si>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</si>
  <si>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</si>
  <si>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</si>
  <si>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</si>
  <si>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</si>
  <si>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</si>
  <si>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</si>
  <si>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</si>
  <si>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</si>
  <si>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</si>
  <si>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</si>
  <si>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</si>
  <si>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</si>
  <si>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</si>
  <si>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</si>
  <si>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</si>
  <si>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</si>
  <si>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</si>
  <si>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</si>
  <si>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</si>
  <si>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</si>
  <si>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</si>
  <si>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</si>
  <si>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</si>
  <si>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</si>
  <si>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</si>
  <si>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</si>
  <si>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</si>
  <si>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</si>
  <si>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</si>
  <si>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</si>
  <si>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</si>
  <si>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</si>
  <si>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</si>
  <si>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</si>
  <si>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</si>
  <si>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</si>
  <si>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</si>
  <si>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</si>
  <si>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</si>
  <si>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</si>
  <si>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</si>
  <si>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</si>
  <si>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</si>
  <si>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</si>
  <si>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</si>
  <si>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</si>
  <si>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</si>
  <si>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</si>
  <si>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</si>
  <si>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</si>
  <si>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</si>
  <si>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</si>
  <si>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</si>
  <si>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</si>
  <si>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</si>
  <si>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</si>
  <si>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</si>
  <si>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</si>
  <si>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</si>
  <si>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</si>
  <si>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</si>
  <si>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</si>
  <si>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</si>
  <si>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</si>
  <si>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</si>
  <si>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</si>
  <si>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</si>
  <si>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</si>
  <si>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</si>
  <si>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</si>
  <si>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</si>
  <si>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</si>
  <si>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</si>
  <si>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</si>
  <si>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</si>
  <si>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</si>
  <si>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</si>
  <si>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</si>
  <si>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</si>
  <si>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</si>
  <si>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</si>
  <si>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</si>
  <si>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</si>
  <si>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</si>
  <si>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</si>
  <si>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</si>
  <si>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</si>
  <si>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</si>
  <si>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</si>
  <si>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</si>
  <si>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</si>
  <si>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</si>
  <si>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</si>
  <si>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</si>
  <si>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</si>
  <si>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</si>
  <si>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</si>
  <si>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</si>
  <si>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</si>
  <si>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</si>
  <si>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</si>
  <si>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</si>
  <si>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</si>
  <si>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</si>
  <si>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</si>
  <si>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</si>
  <si>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</si>
  <si>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</si>
  <si>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</si>
  <si>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</si>
  <si>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</si>
  <si>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</si>
  <si>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</si>
  <si>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</si>
  <si>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</si>
  <si>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</si>
  <si>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</si>
  <si>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</si>
  <si>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</si>
  <si>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</si>
  <si>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</si>
  <si>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</si>
  <si>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</si>
  <si>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</si>
  <si>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</si>
  <si>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</si>
  <si>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</si>
  <si>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</si>
  <si>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</si>
  <si>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</si>
  <si>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</si>
  <si>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</si>
  <si>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</si>
  <si>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</si>
  <si>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</si>
  <si>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</si>
  <si>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</si>
  <si>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</si>
  <si>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</si>
  <si>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</si>
  <si>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</si>
  <si>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</si>
  <si>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</si>
  <si>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</si>
  <si>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</si>
  <si>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</si>
  <si>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</si>
  <si>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</si>
  <si>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</si>
  <si>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</si>
  <si>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</si>
  <si>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</si>
  <si>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</si>
  <si>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</si>
  <si>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</si>
  <si>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</si>
  <si>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</si>
  <si>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</si>
  <si>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</si>
  <si>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</si>
  <si>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</si>
  <si>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</si>
  <si>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</si>
  <si>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</si>
  <si>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</si>
  <si>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</si>
  <si>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</si>
  <si>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</si>
  <si>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</si>
  <si>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</si>
  <si>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</si>
  <si>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</si>
  <si>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</si>
  <si>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</si>
  <si>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</si>
  <si>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</si>
  <si>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</si>
  <si>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</si>
  <si>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</si>
  <si>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</si>
  <si>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</si>
  <si>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</si>
  <si>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</si>
  <si>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</si>
  <si>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</si>
  <si>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</si>
  <si>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</si>
  <si>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</si>
  <si>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</si>
  <si>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</si>
  <si>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</si>
  <si>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</si>
  <si>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</si>
  <si>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</si>
  <si>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</si>
  <si>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</si>
  <si>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</si>
  <si>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</si>
  <si>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</si>
  <si>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</si>
  <si>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</si>
  <si>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</si>
  <si>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</si>
  <si>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</si>
  <si>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</si>
  <si>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</si>
  <si>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</si>
  <si>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</si>
  <si>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</si>
  <si>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</si>
  <si>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</si>
  <si>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</si>
  <si>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</si>
  <si>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</si>
  <si>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</si>
  <si>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</si>
  <si>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</si>
  <si>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</si>
  <si>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</si>
  <si>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</si>
  <si>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</si>
  <si>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</si>
  <si>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</si>
  <si>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</si>
  <si>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</si>
  <si>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</si>
  <si>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</si>
  <si>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</si>
  <si>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</si>
  <si>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</si>
  <si>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</si>
  <si>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</si>
  <si>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</si>
  <si>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</si>
  <si>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</si>
  <si>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</si>
  <si>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</si>
  <si>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</si>
  <si>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</si>
  <si>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</si>
  <si>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</si>
  <si>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</si>
  <si>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</si>
  <si>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</si>
  <si>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</si>
  <si>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</si>
  <si>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</si>
  <si>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</si>
  <si>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</si>
  <si>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</si>
  <si>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</si>
  <si>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</si>
  <si>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</si>
  <si>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</si>
  <si>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</si>
  <si>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</si>
  <si>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</si>
  <si>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</si>
  <si>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</si>
  <si>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</si>
  <si>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</si>
  <si>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</si>
  <si>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</si>
  <si>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</si>
  <si>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</si>
  <si>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</si>
  <si>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</si>
  <si>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</si>
  <si>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</si>
  <si>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</si>
  <si>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</si>
  <si>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</si>
  <si>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</si>
  <si>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</si>
  <si>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</si>
  <si>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</si>
  <si>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</si>
  <si>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</si>
  <si>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</si>
  <si>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</si>
  <si>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</si>
  <si>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</si>
  <si>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</si>
  <si>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</si>
  <si>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</si>
  <si>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</si>
  <si>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</si>
  <si>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</si>
  <si>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</si>
  <si>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</si>
  <si>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</si>
  <si>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</si>
  <si>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</si>
  <si>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</si>
  <si>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</si>
  <si>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</si>
  <si>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</si>
  <si>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</si>
  <si>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</si>
  <si>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</si>
  <si>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</si>
  <si>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</si>
  <si>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</si>
  <si>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</si>
  <si>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</si>
  <si>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</si>
  <si>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</si>
  <si>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</si>
  <si>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</si>
  <si>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</si>
  <si>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</si>
  <si>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</si>
  <si>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</si>
  <si>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</si>
  <si>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</si>
  <si>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</si>
  <si>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</si>
  <si>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</si>
  <si>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</si>
  <si>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</si>
  <si>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</si>
  <si>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</si>
  <si>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</si>
  <si>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</si>
  <si>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</si>
  <si>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</si>
  <si>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</si>
  <si>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</si>
  <si>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</si>
  <si>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</si>
  <si>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</si>
  <si>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</si>
  <si>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</si>
  <si>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</si>
  <si>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</si>
  <si>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</si>
  <si>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</si>
  <si>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</si>
  <si>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</si>
  <si>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</si>
  <si>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</si>
  <si>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</si>
  <si>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</si>
  <si>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</si>
  <si>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</si>
  <si>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</si>
  <si>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</si>
  <si>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</si>
  <si>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</si>
  <si>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</si>
  <si>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</si>
  <si>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</si>
  <si>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</si>
  <si>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</si>
  <si>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</si>
  <si>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</si>
  <si>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</si>
  <si>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</si>
  <si>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</si>
  <si>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</si>
  <si>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</si>
  <si>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</si>
  <si>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</si>
  <si>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</si>
  <si>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</si>
  <si>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</si>
  <si>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</si>
  <si>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</si>
  <si>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</si>
  <si>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</si>
  <si>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</si>
  <si>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</si>
  <si>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</si>
  <si>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</si>
  <si>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</si>
  <si>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</si>
  <si>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</si>
  <si>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</si>
  <si>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</si>
  <si>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</si>
  <si>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</si>
  <si>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</si>
  <si>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</si>
  <si>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</si>
  <si>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</si>
  <si>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</si>
  <si>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</si>
  <si>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</si>
  <si>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</si>
  <si>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</si>
  <si>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</si>
  <si>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</si>
  <si>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</si>
  <si>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</si>
  <si>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</si>
  <si>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</si>
  <si>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</si>
  <si>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</si>
  <si>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</si>
  <si>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</si>
  <si>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</si>
  <si>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</si>
  <si>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</si>
  <si>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</si>
  <si>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</si>
  <si>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</si>
  <si>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</si>
  <si>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</si>
  <si>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</si>
  <si>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</si>
  <si>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</si>
  <si>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</si>
  <si>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</si>
  <si>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</si>
  <si>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</si>
  <si>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</si>
  <si>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</si>
  <si>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</si>
  <si>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</si>
  <si>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</si>
  <si>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</si>
  <si>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</si>
  <si>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</si>
  <si>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</si>
  <si>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</si>
  <si>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</si>
  <si>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</si>
  <si>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</si>
  <si>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</si>
  <si>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</si>
  <si>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</si>
  <si>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</si>
  <si>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</si>
  <si>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</si>
  <si>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</si>
  <si>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</si>
  <si>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</si>
  <si>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</si>
  <si>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</si>
  <si>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</si>
  <si>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</si>
  <si>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</si>
  <si>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</si>
  <si>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</si>
  <si>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</si>
  <si>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</si>
  <si>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</si>
  <si>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</si>
  <si>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</si>
  <si>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</si>
  <si>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</si>
  <si>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</si>
  <si>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</si>
  <si>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</si>
  <si>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</si>
  <si>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</si>
  <si>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</si>
  <si>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</si>
  <si>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</si>
  <si>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</si>
  <si>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</si>
  <si>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</si>
  <si>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</si>
  <si>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</si>
  <si>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</si>
  <si>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</si>
  <si>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</si>
  <si>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</si>
  <si>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</si>
  <si>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</si>
  <si>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</si>
  <si>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</si>
  <si>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</si>
  <si>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</si>
  <si>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</si>
  <si>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</si>
  <si>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</si>
  <si>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</si>
  <si>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</si>
  <si>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</si>
  <si>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</si>
  <si>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</si>
  <si>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</si>
  <si>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</si>
  <si>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</si>
  <si>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</si>
  <si>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</si>
  <si>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</si>
  <si>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</si>
  <si>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</si>
  <si>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</si>
  <si>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</si>
  <si>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</si>
  <si>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</si>
  <si>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</si>
  <si>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</si>
  <si>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</si>
  <si>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</si>
  <si>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</si>
  <si>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</si>
  <si>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</si>
  <si>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</si>
  <si>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</si>
  <si>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</si>
  <si>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</si>
  <si>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</si>
  <si>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</si>
  <si>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</si>
  <si>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</si>
  <si>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</si>
  <si>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</si>
  <si>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</si>
  <si>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</si>
  <si>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</si>
  <si>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</si>
  <si>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</si>
  <si>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</si>
  <si>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</si>
  <si>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</si>
  <si>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</si>
  <si>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</si>
  <si>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</si>
  <si>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</si>
  <si>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</si>
  <si>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</si>
  <si>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</si>
  <si>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</si>
  <si>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</si>
  <si>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</si>
  <si>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</si>
  <si>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</si>
  <si>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</si>
  <si>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</si>
  <si>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</si>
  <si>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</si>
  <si>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</si>
  <si>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</si>
  <si>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</si>
  <si>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</si>
  <si>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</si>
  <si>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</si>
  <si>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</si>
  <si>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</si>
  <si>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</si>
  <si>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</si>
  <si>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</si>
  <si>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</si>
  <si>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</si>
  <si>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</si>
  <si>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</si>
  <si>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</si>
  <si>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</si>
  <si>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</si>
  <si>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</si>
  <si>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</si>
  <si>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</si>
  <si>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</si>
  <si>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</si>
  <si>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</si>
  <si>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</si>
  <si>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</si>
  <si>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</si>
  <si>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</si>
  <si>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</si>
  <si>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</si>
  <si>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</si>
  <si>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</si>
  <si>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</si>
  <si>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</si>
  <si>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</si>
  <si>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</si>
  <si>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</si>
  <si>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</si>
  <si>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</si>
  <si>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</si>
  <si>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</si>
  <si>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</si>
  <si>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</si>
  <si>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</si>
  <si>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</si>
  <si>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</si>
  <si>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</si>
  <si>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</si>
  <si>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</si>
  <si>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</si>
  <si>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</si>
  <si>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</si>
  <si>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</si>
  <si>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</si>
  <si>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</si>
  <si>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</si>
  <si>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</si>
  <si>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</si>
  <si>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</si>
  <si>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</si>
  <si>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</si>
  <si>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</si>
  <si>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</si>
  <si>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</si>
  <si>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</si>
  <si>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</si>
  <si>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</si>
  <si>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</si>
  <si>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</si>
  <si>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</si>
  <si>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</si>
  <si>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</si>
  <si>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</si>
  <si>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</si>
  <si>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</si>
  <si>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</si>
  <si>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</si>
  <si>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</si>
  <si>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</si>
  <si>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</si>
  <si>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</si>
  <si>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</si>
  <si>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</si>
  <si>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</si>
  <si>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</si>
  <si>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</si>
  <si>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</si>
  <si>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</si>
  <si>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</si>
  <si>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</si>
  <si>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</si>
  <si>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</si>
  <si>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</si>
  <si>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</si>
  <si>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</si>
  <si>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</si>
  <si>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</si>
  <si>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</si>
  <si>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</si>
  <si>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</si>
  <si>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</si>
  <si>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</si>
  <si>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</si>
  <si>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</si>
  <si>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</si>
  <si>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</si>
  <si>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</si>
  <si>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</si>
  <si>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</si>
  <si>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</si>
  <si>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</si>
  <si>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</si>
  <si>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</si>
  <si>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</si>
  <si>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</si>
  <si>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</si>
  <si>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</si>
  <si>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</si>
  <si>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</si>
  <si>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</si>
  <si>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</si>
  <si>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</si>
  <si>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</si>
  <si>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</si>
  <si>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</si>
  <si>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</si>
  <si>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</si>
  <si>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</si>
  <si>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</si>
  <si>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</si>
  <si>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</si>
  <si>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</si>
  <si>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</si>
  <si>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</si>
  <si>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</si>
  <si>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</si>
  <si>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</si>
  <si>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</si>
  <si>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</si>
  <si>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</si>
  <si>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</si>
  <si>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</si>
  <si>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</si>
  <si>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</si>
  <si>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</si>
  <si>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</si>
  <si>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</si>
  <si>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</si>
  <si>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</si>
  <si>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</si>
  <si>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</si>
  <si>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</si>
  <si>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</si>
  <si>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</si>
  <si>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</si>
  <si>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</si>
  <si>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</si>
  <si>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</si>
  <si>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</si>
  <si>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</si>
  <si>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</si>
  <si>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</si>
  <si>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</si>
  <si>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</si>
  <si>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</si>
  <si>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</si>
  <si>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</si>
  <si>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</si>
  <si>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</si>
  <si>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</si>
  <si>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</si>
  <si>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</si>
  <si>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</si>
  <si>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</si>
  <si>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</si>
  <si>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</si>
  <si>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</si>
  <si>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</si>
  <si>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</si>
  <si>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</si>
  <si>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</si>
  <si>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</si>
  <si>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</si>
  <si>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</si>
  <si>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</si>
  <si>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</si>
  <si>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</si>
  <si>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</si>
  <si>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</si>
  <si>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</si>
  <si>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</si>
  <si>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</si>
  <si>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</si>
  <si>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</si>
  <si>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</si>
  <si>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</si>
  <si>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</si>
  <si>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</si>
  <si>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</si>
  <si>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</si>
  <si>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</si>
  <si>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</si>
  <si>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</si>
  <si>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</si>
  <si>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</si>
  <si>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</si>
  <si>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</si>
  <si>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</si>
  <si>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</si>
  <si>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</si>
  <si>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</si>
  <si>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</si>
  <si>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</si>
  <si>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</si>
  <si>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</si>
  <si>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</si>
  <si>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</si>
  <si>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</si>
  <si>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</si>
  <si>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</si>
  <si>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</si>
  <si>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</si>
  <si>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</si>
  <si>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</si>
  <si>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</si>
  <si>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</si>
  <si>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</si>
  <si>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</si>
  <si>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</si>
  <si>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</si>
  <si>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</si>
  <si>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</si>
  <si>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</si>
  <si>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</si>
  <si>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</si>
  <si>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</si>
  <si>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</si>
  <si>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</si>
  <si>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</si>
  <si>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</si>
  <si>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</si>
  <si>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</si>
  <si>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</si>
  <si>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</si>
  <si>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</si>
  <si>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</si>
  <si>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</si>
  <si>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</si>
  <si>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</si>
  <si>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</si>
  <si>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</si>
  <si>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</si>
  <si>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</si>
  <si>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</si>
  <si>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</si>
  <si>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</si>
  <si>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</si>
  <si>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</si>
  <si>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</si>
  <si>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</si>
  <si>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</si>
  <si>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</si>
  <si>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</si>
  <si>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</si>
  <si>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</si>
  <si>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</si>
  <si>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</si>
  <si>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</si>
  <si>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</si>
  <si>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</si>
  <si>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</si>
  <si>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</si>
  <si>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</si>
  <si>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</si>
  <si>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</si>
  <si>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</si>
  <si>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</si>
  <si>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</si>
  <si>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</si>
  <si>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</si>
  <si>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</si>
  <si>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</si>
  <si>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</si>
  <si>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</si>
  <si>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</si>
  <si>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</si>
  <si>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</si>
  <si>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</si>
  <si>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</si>
  <si>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</si>
  <si>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</si>
  <si>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</si>
  <si>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</si>
  <si>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</si>
  <si>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</si>
  <si>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</si>
  <si>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</si>
  <si>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</si>
  <si>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</si>
  <si>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</si>
  <si>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</si>
  <si>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</si>
  <si>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</si>
  <si>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</si>
  <si>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</si>
  <si>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</si>
  <si>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</si>
  <si>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</si>
  <si>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</si>
  <si>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</si>
  <si>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</si>
  <si>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</si>
  <si>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</si>
  <si>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</si>
  <si>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</si>
  <si>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</si>
  <si>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</si>
  <si>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</si>
  <si>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</si>
  <si>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</si>
  <si>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</si>
  <si>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</si>
  <si>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</si>
  <si>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</si>
  <si>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</si>
  <si>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</si>
  <si>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</si>
  <si>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</si>
  <si>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</si>
  <si>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</si>
  <si>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</si>
  <si>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</si>
  <si>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</si>
  <si>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</si>
  <si>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</si>
  <si>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</si>
  <si>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</si>
  <si>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</si>
  <si>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</si>
  <si>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</si>
  <si>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</si>
  <si>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</si>
  <si>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</si>
  <si>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</si>
  <si>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</si>
  <si>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</si>
  <si>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</si>
  <si>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</si>
  <si>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</si>
  <si>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</si>
  <si>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</si>
  <si>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</si>
  <si>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</si>
  <si>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</si>
  <si>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</si>
  <si>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</si>
  <si>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</si>
  <si>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</si>
  <si>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</si>
  <si>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</si>
  <si>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</si>
  <si>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</si>
  <si>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</si>
  <si>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</si>
  <si>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</si>
  <si>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</si>
  <si>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</si>
  <si>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</si>
  <si>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</si>
  <si>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</si>
  <si>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</si>
  <si>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</si>
  <si>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</si>
  <si>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</si>
  <si>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</si>
  <si>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</si>
  <si>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</si>
  <si>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</si>
  <si>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</si>
  <si>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</si>
  <si>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</si>
  <si>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</si>
  <si>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</si>
  <si>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</si>
  <si>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</si>
  <si>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</si>
  <si>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</si>
  <si>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</si>
  <si>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</si>
  <si>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</si>
  <si>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</si>
  <si>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</si>
  <si>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</si>
  <si>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</si>
  <si>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</si>
  <si>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</si>
  <si>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</si>
  <si>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</si>
  <si>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</si>
  <si>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</si>
  <si>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</si>
  <si>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</si>
  <si>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</si>
  <si>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</si>
  <si>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</si>
  <si>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</si>
  <si>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</si>
  <si>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</si>
  <si>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</si>
  <si>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</si>
  <si>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</si>
  <si>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</si>
  <si>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</si>
  <si>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</si>
  <si>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</si>
  <si>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</si>
  <si>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</si>
  <si>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</si>
  <si>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</si>
  <si>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</si>
  <si>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</si>
  <si>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</si>
  <si>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</si>
  <si>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</si>
  <si>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</si>
  <si>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</si>
  <si>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</si>
  <si>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</si>
  <si>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</si>
  <si>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</si>
  <si>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</si>
  <si>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</si>
  <si>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</si>
  <si>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</si>
  <si>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</si>
  <si>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</si>
  <si>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</si>
  <si>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</si>
  <si>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</si>
  <si>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</si>
  <si>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</si>
  <si>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</si>
  <si>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</si>
  <si>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</si>
  <si>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</si>
  <si>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</si>
  <si>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</si>
  <si>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</si>
  <si>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</si>
  <si>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</si>
  <si>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</si>
  <si>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</si>
  <si>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</si>
  <si>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</si>
  <si>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</si>
  <si>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</si>
  <si>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</si>
  <si>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</si>
  <si>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</si>
  <si>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</si>
  <si>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</si>
  <si>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</si>
  <si>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</si>
  <si>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</si>
  <si>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</si>
  <si>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</si>
  <si>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</si>
  <si>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</si>
  <si>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</si>
  <si>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</si>
  <si>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</si>
  <si>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</si>
  <si>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</si>
  <si>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</si>
  <si>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</si>
  <si>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</si>
  <si>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</si>
  <si>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</si>
  <si>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</si>
  <si>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</si>
  <si>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</si>
  <si>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</si>
  <si>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</si>
  <si>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</si>
  <si>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</si>
  <si>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</si>
  <si>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</si>
  <si>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</si>
  <si>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</si>
  <si>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</si>
  <si>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</si>
  <si>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</si>
  <si>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</si>
  <si>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</si>
  <si>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</si>
  <si>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</si>
  <si>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</si>
  <si>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</si>
  <si>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</si>
  <si>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</si>
  <si>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</si>
  <si>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</si>
  <si>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</si>
  <si>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</si>
  <si>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</si>
  <si>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</si>
  <si>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</si>
  <si>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</si>
  <si>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</si>
  <si>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</si>
  <si>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</si>
  <si>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</si>
  <si>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</si>
  <si>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</si>
  <si>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</si>
  <si>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</si>
  <si>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</si>
  <si>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</si>
  <si>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</si>
  <si>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</si>
  <si>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</si>
  <si>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</si>
  <si>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</si>
  <si>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</si>
  <si>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</si>
  <si>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</si>
  <si>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</si>
  <si>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</si>
  <si>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</si>
  <si>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</si>
  <si>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</si>
  <si>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</si>
  <si>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</si>
  <si>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</si>
  <si>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</si>
  <si>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</si>
  <si>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</si>
  <si>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</si>
  <si>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</si>
  <si>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</si>
  <si>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</si>
  <si>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</si>
  <si>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</si>
  <si>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</si>
  <si>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</si>
  <si>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</si>
  <si>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</si>
  <si>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</si>
  <si>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</si>
  <si>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</si>
  <si>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</si>
  <si>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</si>
  <si>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</si>
  <si>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</si>
  <si>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</si>
  <si>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</si>
  <si>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</si>
  <si>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</si>
  <si>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</si>
  <si>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</si>
  <si>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</si>
  <si>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</si>
  <si>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</si>
  <si>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</si>
  <si>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</si>
  <si>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</si>
  <si>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</si>
  <si>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</si>
  <si>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</si>
  <si>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</si>
  <si>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</si>
  <si>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</si>
  <si>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</si>
  <si>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</si>
  <si>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</si>
  <si>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</si>
  <si>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</si>
  <si>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</si>
  <si>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</si>
  <si>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</si>
  <si>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</si>
  <si>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</si>
  <si>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</si>
  <si>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</si>
  <si>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</si>
  <si>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</si>
  <si>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</si>
  <si>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</si>
  <si>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</si>
  <si>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</si>
  <si>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</si>
  <si>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</si>
  <si>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</si>
  <si>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</si>
  <si>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</si>
  <si>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</si>
  <si>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</si>
  <si>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</si>
  <si>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</si>
  <si>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</si>
  <si>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</si>
  <si>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</si>
  <si>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</si>
  <si>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</si>
  <si>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</si>
  <si>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</si>
  <si>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</si>
  <si>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</si>
  <si>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</si>
  <si>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</si>
  <si>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</si>
  <si>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</si>
  <si>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</si>
  <si>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</si>
  <si>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</si>
  <si>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</si>
  <si>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</si>
  <si>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</si>
  <si>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</si>
  <si>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</si>
  <si>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</si>
  <si>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</si>
  <si>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</si>
  <si>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</si>
  <si>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</si>
  <si>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</si>
  <si>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</si>
  <si>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</si>
  <si>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</si>
  <si>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</si>
  <si>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</si>
  <si>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</si>
  <si>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</si>
  <si>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</si>
  <si>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</si>
  <si>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</si>
  <si>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</si>
  <si>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</si>
  <si>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</si>
  <si>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</si>
  <si>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</si>
  <si>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</si>
  <si>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</si>
  <si>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</si>
  <si>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</si>
  <si>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</si>
  <si>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</si>
  <si>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</si>
  <si>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</si>
  <si>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</si>
  <si>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</si>
  <si>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</si>
  <si>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</si>
  <si>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</si>
  <si>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</si>
  <si>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</si>
  <si>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</si>
  <si>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</si>
  <si>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</si>
  <si>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</si>
  <si>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</si>
  <si>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</si>
  <si>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</si>
  <si>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</si>
  <si>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</si>
  <si>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</si>
  <si>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</si>
  <si>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</si>
  <si>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</si>
  <si>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</si>
  <si>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</si>
  <si>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</si>
  <si>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</si>
  <si>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</si>
  <si>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</si>
  <si>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</si>
  <si>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</si>
  <si>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</si>
  <si>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</si>
  <si>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</si>
  <si>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</si>
  <si>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</si>
  <si>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</si>
  <si>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</si>
  <si>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</si>
  <si>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</si>
  <si>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</si>
  <si>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</si>
  <si>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</si>
  <si>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</si>
  <si>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</si>
  <si>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</si>
  <si>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</si>
  <si>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</si>
  <si>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</si>
  <si>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</si>
  <si>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</si>
  <si>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</si>
  <si>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</si>
  <si>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</si>
  <si>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</si>
  <si>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</si>
  <si>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</si>
  <si>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</si>
  <si>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</si>
  <si>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</si>
  <si>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</si>
  <si>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</si>
  <si>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</si>
  <si>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</si>
  <si>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</si>
  <si>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</si>
  <si>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</si>
  <si>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</si>
  <si>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</si>
  <si>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</si>
  <si>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</si>
  <si>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</si>
  <si>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</si>
  <si>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</si>
  <si>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</si>
  <si>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</si>
  <si>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</si>
  <si>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</si>
  <si>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</si>
  <si>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</si>
  <si>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</si>
  <si>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</si>
  <si>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</si>
  <si>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</si>
  <si>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</si>
  <si>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</si>
  <si>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</si>
  <si>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</si>
  <si>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</si>
  <si>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</si>
  <si>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</si>
  <si>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</si>
  <si>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</si>
  <si>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</si>
  <si>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</si>
  <si>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</si>
  <si>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</si>
  <si>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</si>
  <si>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</si>
  <si>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</si>
  <si>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</si>
  <si>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</si>
  <si>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</si>
  <si>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</si>
  <si>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</si>
  <si>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</si>
  <si>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</si>
  <si>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</si>
  <si>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</si>
  <si>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</si>
  <si>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</si>
  <si>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</si>
  <si>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</si>
  <si>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</si>
  <si>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</si>
  <si>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</si>
  <si>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</si>
  <si>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</si>
  <si>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</si>
  <si>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</si>
  <si>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</si>
  <si>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</si>
  <si>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</si>
  <si>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</si>
  <si>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</si>
  <si>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</si>
  <si>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</si>
  <si>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</si>
  <si>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</si>
  <si>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</si>
  <si>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</si>
  <si>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</si>
  <si>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</si>
  <si>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</si>
  <si>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</si>
  <si>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</si>
  <si>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</si>
  <si>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</si>
  <si>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</si>
  <si>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</si>
  <si>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</si>
  <si>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</si>
  <si>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</si>
  <si>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</si>
  <si>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</si>
  <si>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</si>
  <si>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</si>
  <si>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</si>
  <si>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</si>
  <si>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</si>
  <si>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</si>
  <si>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</si>
  <si>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</si>
  <si>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</si>
  <si>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</si>
  <si>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</si>
  <si>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</si>
  <si>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</si>
  <si>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</si>
  <si>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</si>
  <si>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</si>
  <si>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</si>
  <si>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</si>
  <si>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</si>
  <si>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</si>
  <si>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</si>
  <si>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</si>
  <si>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</si>
  <si>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</si>
  <si>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</si>
  <si>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</si>
  <si>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</si>
  <si>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</si>
  <si>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</si>
  <si>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</si>
  <si>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</si>
  <si>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</si>
  <si>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</si>
  <si>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</si>
  <si>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</si>
  <si>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</si>
  <si>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</si>
  <si>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</si>
  <si>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</si>
  <si>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</si>
  <si>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</si>
  <si>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</si>
  <si>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</si>
  <si>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</si>
  <si>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</si>
  <si>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</si>
  <si>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</si>
  <si>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</si>
  <si>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</si>
  <si>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</si>
  <si>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</si>
  <si>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</si>
  <si>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</si>
  <si>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</si>
  <si>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</si>
  <si>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</si>
  <si>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</si>
  <si>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</si>
  <si>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</si>
  <si>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</si>
  <si>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</si>
  <si>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</si>
  <si>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</si>
  <si>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</si>
  <si>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</si>
  <si>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</si>
  <si>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</si>
  <si>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</si>
  <si>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</si>
  <si>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</si>
  <si>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</si>
  <si>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</si>
  <si>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</si>
  <si>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</si>
  <si>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</si>
  <si>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</si>
  <si>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</si>
  <si>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</si>
  <si>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</si>
  <si>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</si>
  <si>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</si>
  <si>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</si>
  <si>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</si>
  <si>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</si>
  <si>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</si>
  <si>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</si>
  <si>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</si>
  <si>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</si>
  <si>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</si>
  <si>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</si>
  <si>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</si>
  <si>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</si>
  <si>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</si>
  <si>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</si>
  <si>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</si>
  <si>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</si>
  <si>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</si>
  <si>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</si>
  <si>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</si>
  <si>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</si>
  <si>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</si>
  <si>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</si>
  <si>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</si>
  <si>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</si>
  <si>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</si>
  <si>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</si>
  <si>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</si>
  <si>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</si>
  <si>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</si>
  <si>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</si>
  <si>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</si>
  <si>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</si>
  <si>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</si>
  <si>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</si>
  <si>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</si>
  <si>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</si>
  <si>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</si>
  <si>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</si>
  <si>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</si>
  <si>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</si>
  <si>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</si>
  <si>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</si>
  <si>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</si>
  <si>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</si>
  <si>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</si>
  <si>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</si>
  <si>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</si>
  <si>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</si>
  <si>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</si>
  <si>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</si>
  <si>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</si>
  <si>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地下</t>
  </si>
  <si>
    <t>成新度</t>
  </si>
  <si>
    <t>自定义容积率</t>
  </si>
  <si>
    <t>不临65条商业街</t>
  </si>
  <si>
    <t>与级别开发程度一致</t>
  </si>
  <si>
    <t>楼层修正</t>
  </si>
  <si>
    <t>一般</t>
  </si>
  <si>
    <t>较好</t>
  </si>
  <si>
    <t>较差</t>
  </si>
  <si>
    <t>未包含在土地购买价格中</t>
  </si>
  <si>
    <t>全部缴纳</t>
  </si>
  <si>
    <t>已包含在土地取得成本中</t>
  </si>
  <si>
    <t>收益法</t>
  </si>
  <si>
    <t>押一</t>
  </si>
  <si>
    <t>钢混</t>
  </si>
  <si>
    <t>非生产用房</t>
  </si>
  <si>
    <t>售价</t>
  </si>
  <si>
    <t>万科红</t>
    <phoneticPr fontId="3" type="noConversion"/>
  </si>
  <si>
    <t>正常</t>
  </si>
  <si>
    <t>商业</t>
    <phoneticPr fontId="30" type="noConversion"/>
  </si>
  <si>
    <t>挂牌</t>
  </si>
  <si>
    <t>挂牌</t>
    <phoneticPr fontId="30" type="noConversion"/>
  </si>
  <si>
    <t>七通</t>
  </si>
  <si>
    <t>天创公馆</t>
    <phoneticPr fontId="3" type="noConversion"/>
  </si>
  <si>
    <t>中海城紫鑫阁</t>
    <phoneticPr fontId="3" type="noConversion"/>
  </si>
  <si>
    <t>10-20</t>
    <phoneticPr fontId="30" type="noConversion"/>
  </si>
  <si>
    <t>20-30</t>
    <phoneticPr fontId="30" type="noConversion"/>
  </si>
  <si>
    <t>比较法-商业</t>
  </si>
  <si>
    <t>项目模式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</si>
</sst>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0" fillId="5" borderId="0" xfId="0" applyFill="1">
      <alignment vertical="center"/>
    </xf>
    <xf numFmtId="0" fontId="95" fillId="0" borderId="0" xfId="0" quotePrefix="1" applyFont="1">
      <alignment vertical="center"/>
    </xf>
    <xf numFmtId="9"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44" fillId="0" borderId="23" xfId="0" quotePrefix="1"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380695</xdr:colOff>
      <xdr:row>17</xdr:row>
      <xdr:rowOff>85350</xdr:rowOff>
    </xdr:to>
    <xdr:pic>
      <xdr:nvPicPr>
        <xdr:cNvPr id="5" name="图片 4">
          <a:extLst>
            <a:ext uri="{FF2B5EF4-FFF2-40B4-BE49-F238E27FC236}">
              <a16:creationId xmlns:a16="http://schemas.microsoft.com/office/drawing/2014/main" id="{9791F981-B2D8-7465-0EC2-3F8A24C33E62}"/>
            </a:ext>
          </a:extLst>
        </xdr:cNvPr>
        <xdr:cNvPicPr>
          <a:picLocks noChangeAspect="1"/>
        </xdr:cNvPicPr>
      </xdr:nvPicPr>
      <xdr:blipFill>
        <a:blip xmlns:r="http://schemas.openxmlformats.org/officeDocument/2006/relationships" r:embed="rId1"/>
        <a:stretch>
          <a:fillRect/>
        </a:stretch>
      </xdr:blipFill>
      <xdr:spPr>
        <a:xfrm>
          <a:off x="0" y="0"/>
          <a:ext cx="2438095" cy="3000000"/>
        </a:xfrm>
        <a:prstGeom prst="rect">
          <a:avLst/>
        </a:prstGeom>
      </xdr:spPr>
    </xdr:pic>
    <xdr:clientData/>
  </xdr:twoCellAnchor>
  <xdr:twoCellAnchor editAs="oneCell">
    <xdr:from>
      <xdr:col>7</xdr:col>
      <xdr:colOff>0</xdr:colOff>
      <xdr:row>0</xdr:row>
      <xdr:rowOff>0</xdr:rowOff>
    </xdr:from>
    <xdr:to>
      <xdr:col>26</xdr:col>
      <xdr:colOff>226943</xdr:colOff>
      <xdr:row>28</xdr:row>
      <xdr:rowOff>8924</xdr:rowOff>
    </xdr:to>
    <xdr:pic>
      <xdr:nvPicPr>
        <xdr:cNvPr id="7" name="图片 6">
          <a:extLst>
            <a:ext uri="{FF2B5EF4-FFF2-40B4-BE49-F238E27FC236}">
              <a16:creationId xmlns:a16="http://schemas.microsoft.com/office/drawing/2014/main" id="{ADF7D209-57C7-CEDE-EFF2-981CA5DDE454}"/>
            </a:ext>
          </a:extLst>
        </xdr:cNvPr>
        <xdr:cNvPicPr>
          <a:picLocks noChangeAspect="1"/>
        </xdr:cNvPicPr>
      </xdr:nvPicPr>
      <xdr:blipFill>
        <a:blip xmlns:r="http://schemas.openxmlformats.org/officeDocument/2006/relationships" r:embed="rId2"/>
        <a:stretch>
          <a:fillRect/>
        </a:stretch>
      </xdr:blipFill>
      <xdr:spPr>
        <a:xfrm>
          <a:off x="4800600" y="0"/>
          <a:ext cx="13257143" cy="4809524"/>
        </a:xfrm>
        <a:prstGeom prst="rect">
          <a:avLst/>
        </a:prstGeom>
      </xdr:spPr>
    </xdr:pic>
    <xdr:clientData/>
  </xdr:twoCellAnchor>
  <xdr:twoCellAnchor editAs="oneCell">
    <xdr:from>
      <xdr:col>6</xdr:col>
      <xdr:colOff>657225</xdr:colOff>
      <xdr:row>28</xdr:row>
      <xdr:rowOff>114300</xdr:rowOff>
    </xdr:from>
    <xdr:to>
      <xdr:col>24</xdr:col>
      <xdr:colOff>589015</xdr:colOff>
      <xdr:row>59</xdr:row>
      <xdr:rowOff>123159</xdr:rowOff>
    </xdr:to>
    <xdr:pic>
      <xdr:nvPicPr>
        <xdr:cNvPr id="8" name="图片 7">
          <a:extLst>
            <a:ext uri="{FF2B5EF4-FFF2-40B4-BE49-F238E27FC236}">
              <a16:creationId xmlns:a16="http://schemas.microsoft.com/office/drawing/2014/main" id="{F930F05D-682A-3EB6-CA88-65D75579CCBF}"/>
            </a:ext>
          </a:extLst>
        </xdr:cNvPr>
        <xdr:cNvPicPr>
          <a:picLocks noChangeAspect="1"/>
        </xdr:cNvPicPr>
      </xdr:nvPicPr>
      <xdr:blipFill>
        <a:blip xmlns:r="http://schemas.openxmlformats.org/officeDocument/2006/relationships" r:embed="rId3"/>
        <a:stretch>
          <a:fillRect/>
        </a:stretch>
      </xdr:blipFill>
      <xdr:spPr>
        <a:xfrm>
          <a:off x="4772025" y="4914900"/>
          <a:ext cx="12276190" cy="5323809"/>
        </a:xfrm>
        <a:prstGeom prst="rect">
          <a:avLst/>
        </a:prstGeom>
      </xdr:spPr>
    </xdr:pic>
    <xdr:clientData/>
  </xdr:twoCellAnchor>
  <xdr:twoCellAnchor editAs="oneCell">
    <xdr:from>
      <xdr:col>0</xdr:col>
      <xdr:colOff>0</xdr:colOff>
      <xdr:row>18</xdr:row>
      <xdr:rowOff>95250</xdr:rowOff>
    </xdr:from>
    <xdr:to>
      <xdr:col>6</xdr:col>
      <xdr:colOff>313771</xdr:colOff>
      <xdr:row>22</xdr:row>
      <xdr:rowOff>152307</xdr:rowOff>
    </xdr:to>
    <xdr:pic>
      <xdr:nvPicPr>
        <xdr:cNvPr id="2" name="图片 1">
          <a:extLst>
            <a:ext uri="{FF2B5EF4-FFF2-40B4-BE49-F238E27FC236}">
              <a16:creationId xmlns:a16="http://schemas.microsoft.com/office/drawing/2014/main" id="{359142CF-1BC8-8A12-D4DA-F64F0F4F4899}"/>
            </a:ext>
          </a:extLst>
        </xdr:cNvPr>
        <xdr:cNvPicPr>
          <a:picLocks noChangeAspect="1"/>
        </xdr:cNvPicPr>
      </xdr:nvPicPr>
      <xdr:blipFill>
        <a:blip xmlns:r="http://schemas.openxmlformats.org/officeDocument/2006/relationships" r:embed="rId4"/>
        <a:stretch>
          <a:fillRect/>
        </a:stretch>
      </xdr:blipFill>
      <xdr:spPr>
        <a:xfrm>
          <a:off x="0" y="3181350"/>
          <a:ext cx="4428571" cy="742857"/>
        </a:xfrm>
        <a:prstGeom prst="rect">
          <a:avLst/>
        </a:prstGeom>
      </xdr:spPr>
    </xdr:pic>
    <xdr:clientData/>
  </xdr:twoCellAnchor>
  <xdr:twoCellAnchor editAs="oneCell">
    <xdr:from>
      <xdr:col>0</xdr:col>
      <xdr:colOff>0</xdr:colOff>
      <xdr:row>60</xdr:row>
      <xdr:rowOff>85725</xdr:rowOff>
    </xdr:from>
    <xdr:to>
      <xdr:col>16</xdr:col>
      <xdr:colOff>417676</xdr:colOff>
      <xdr:row>91</xdr:row>
      <xdr:rowOff>142204</xdr:rowOff>
    </xdr:to>
    <xdr:pic>
      <xdr:nvPicPr>
        <xdr:cNvPr id="3" name="图片 2">
          <a:extLst>
            <a:ext uri="{FF2B5EF4-FFF2-40B4-BE49-F238E27FC236}">
              <a16:creationId xmlns:a16="http://schemas.microsoft.com/office/drawing/2014/main" id="{F65EA3E8-845F-FB99-06D0-3D4F8BBAFFF4}"/>
            </a:ext>
          </a:extLst>
        </xdr:cNvPr>
        <xdr:cNvPicPr>
          <a:picLocks noChangeAspect="1"/>
        </xdr:cNvPicPr>
      </xdr:nvPicPr>
      <xdr:blipFill>
        <a:blip xmlns:r="http://schemas.openxmlformats.org/officeDocument/2006/relationships" r:embed="rId5"/>
        <a:stretch>
          <a:fillRect/>
        </a:stretch>
      </xdr:blipFill>
      <xdr:spPr>
        <a:xfrm>
          <a:off x="0" y="10372725"/>
          <a:ext cx="11390476" cy="5371429"/>
        </a:xfrm>
        <a:prstGeom prst="rect">
          <a:avLst/>
        </a:prstGeom>
      </xdr:spPr>
    </xdr:pic>
    <xdr:clientData/>
  </xdr:twoCellAnchor>
  <xdr:twoCellAnchor editAs="oneCell">
    <xdr:from>
      <xdr:col>0</xdr:col>
      <xdr:colOff>0</xdr:colOff>
      <xdr:row>93</xdr:row>
      <xdr:rowOff>0</xdr:rowOff>
    </xdr:from>
    <xdr:to>
      <xdr:col>15</xdr:col>
      <xdr:colOff>84428</xdr:colOff>
      <xdr:row>110</xdr:row>
      <xdr:rowOff>37731</xdr:rowOff>
    </xdr:to>
    <xdr:pic>
      <xdr:nvPicPr>
        <xdr:cNvPr id="4" name="图片 3">
          <a:extLst>
            <a:ext uri="{FF2B5EF4-FFF2-40B4-BE49-F238E27FC236}">
              <a16:creationId xmlns:a16="http://schemas.microsoft.com/office/drawing/2014/main" id="{441E45E3-BA7C-2C5F-D015-4E9471D9AD85}"/>
            </a:ext>
          </a:extLst>
        </xdr:cNvPr>
        <xdr:cNvPicPr>
          <a:picLocks noChangeAspect="1"/>
        </xdr:cNvPicPr>
      </xdr:nvPicPr>
      <xdr:blipFill>
        <a:blip xmlns:r="http://schemas.openxmlformats.org/officeDocument/2006/relationships" r:embed="rId6"/>
        <a:stretch>
          <a:fillRect/>
        </a:stretch>
      </xdr:blipFill>
      <xdr:spPr>
        <a:xfrm>
          <a:off x="0" y="15944850"/>
          <a:ext cx="10371428" cy="29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409575</xdr:colOff>
      <xdr:row>24</xdr:row>
      <xdr:rowOff>16714</xdr:rowOff>
    </xdr:to>
    <xdr:pic>
      <xdr:nvPicPr>
        <xdr:cNvPr id="2" name="图片 1">
          <a:extLst>
            <a:ext uri="{FF2B5EF4-FFF2-40B4-BE49-F238E27FC236}">
              <a16:creationId xmlns:a16="http://schemas.microsoft.com/office/drawing/2014/main" id="{9CE07655-4000-9725-BD9A-46AD2F267A9B}"/>
            </a:ext>
          </a:extLst>
        </xdr:cNvPr>
        <xdr:cNvPicPr>
          <a:picLocks noChangeAspect="1"/>
        </xdr:cNvPicPr>
      </xdr:nvPicPr>
      <xdr:blipFill>
        <a:blip xmlns:r="http://schemas.openxmlformats.org/officeDocument/2006/relationships" r:embed="rId1"/>
        <a:stretch>
          <a:fillRect/>
        </a:stretch>
      </xdr:blipFill>
      <xdr:spPr>
        <a:xfrm>
          <a:off x="0" y="0"/>
          <a:ext cx="9324975" cy="4131514"/>
        </a:xfrm>
        <a:prstGeom prst="rect">
          <a:avLst/>
        </a:prstGeom>
      </xdr:spPr>
    </xdr:pic>
    <xdr:clientData/>
  </xdr:twoCellAnchor>
  <xdr:twoCellAnchor editAs="oneCell">
    <xdr:from>
      <xdr:col>0</xdr:col>
      <xdr:colOff>0</xdr:colOff>
      <xdr:row>25</xdr:row>
      <xdr:rowOff>0</xdr:rowOff>
    </xdr:from>
    <xdr:to>
      <xdr:col>13</xdr:col>
      <xdr:colOff>647700</xdr:colOff>
      <xdr:row>48</xdr:row>
      <xdr:rowOff>59446</xdr:rowOff>
    </xdr:to>
    <xdr:pic>
      <xdr:nvPicPr>
        <xdr:cNvPr id="3" name="图片 2">
          <a:extLst>
            <a:ext uri="{FF2B5EF4-FFF2-40B4-BE49-F238E27FC236}">
              <a16:creationId xmlns:a16="http://schemas.microsoft.com/office/drawing/2014/main" id="{45FC25B9-9DA1-918F-8F20-40E7C769D899}"/>
            </a:ext>
          </a:extLst>
        </xdr:cNvPr>
        <xdr:cNvPicPr>
          <a:picLocks noChangeAspect="1"/>
        </xdr:cNvPicPr>
      </xdr:nvPicPr>
      <xdr:blipFill>
        <a:blip xmlns:r="http://schemas.openxmlformats.org/officeDocument/2006/relationships" r:embed="rId2"/>
        <a:stretch>
          <a:fillRect/>
        </a:stretch>
      </xdr:blipFill>
      <xdr:spPr>
        <a:xfrm>
          <a:off x="0" y="4286250"/>
          <a:ext cx="9563100" cy="4002796"/>
        </a:xfrm>
        <a:prstGeom prst="rect">
          <a:avLst/>
        </a:prstGeom>
      </xdr:spPr>
    </xdr:pic>
    <xdr:clientData/>
  </xdr:twoCellAnchor>
  <xdr:twoCellAnchor editAs="oneCell">
    <xdr:from>
      <xdr:col>0</xdr:col>
      <xdr:colOff>0</xdr:colOff>
      <xdr:row>49</xdr:row>
      <xdr:rowOff>0</xdr:rowOff>
    </xdr:from>
    <xdr:to>
      <xdr:col>13</xdr:col>
      <xdr:colOff>161925</xdr:colOff>
      <xdr:row>75</xdr:row>
      <xdr:rowOff>10221</xdr:rowOff>
    </xdr:to>
    <xdr:pic>
      <xdr:nvPicPr>
        <xdr:cNvPr id="4" name="图片 3">
          <a:extLst>
            <a:ext uri="{FF2B5EF4-FFF2-40B4-BE49-F238E27FC236}">
              <a16:creationId xmlns:a16="http://schemas.microsoft.com/office/drawing/2014/main" id="{BE708C1A-B548-73E7-73BF-92C9553E748A}"/>
            </a:ext>
          </a:extLst>
        </xdr:cNvPr>
        <xdr:cNvPicPr>
          <a:picLocks noChangeAspect="1"/>
        </xdr:cNvPicPr>
      </xdr:nvPicPr>
      <xdr:blipFill>
        <a:blip xmlns:r="http://schemas.openxmlformats.org/officeDocument/2006/relationships" r:embed="rId3"/>
        <a:stretch>
          <a:fillRect/>
        </a:stretch>
      </xdr:blipFill>
      <xdr:spPr>
        <a:xfrm>
          <a:off x="0" y="8401050"/>
          <a:ext cx="9077325" cy="4467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估价对象为北京市房地产，为所有。根据《国有土地使用证》[]，估价对象（分摊）出让国有建设用地使用权面积为0平方米，建筑面积为1851.78平方米。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估价对象为北京市房地产,属开发建设的，该项目尚在开发建设中。根据《国有土地使用证》[]，估价对象（分摊）出让国有建设用地使用权面积为0平方米，规划建筑面积为1851.78平方米。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2025年2月20日（评估专业人员实地查勘之日）</v>
      </c>
    </row>
    <row r="13" spans="1:2">
      <c r="A13" s="1119" t="s">
        <v>529</v>
      </c>
      <c r="B13" s="1120"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1851.78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3" t="s">
        <v>2571</v>
      </c>
      <c r="J2" s="3203"/>
      <c r="K2" s="3203"/>
      <c r="L2" s="3203"/>
      <c r="M2" s="3203"/>
      <c r="N2" s="3203"/>
      <c r="O2" s="3203"/>
      <c r="P2" s="3203"/>
      <c r="Q2" s="3203"/>
      <c r="R2" s="3203"/>
    </row>
    <row r="3" spans="1:18">
      <c r="A3" s="2763" t="s">
        <v>2492</v>
      </c>
      <c r="B3" s="2764">
        <f>项目基本情况!D3</f>
        <v>45708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1.82</v>
      </c>
      <c r="D5" s="2768">
        <f>IF(ISERROR(ROUND(POWER(1+E5,A5-C5)*(POWER(1+E5,C5)-1)/(POWER(1+E5,A5)-1),3)),0,ROUND(POWER(1+E5,A5-C5)*(POWER(1+E5,C5)-1)/(POWER(1+E5,A5)-1),4))</f>
        <v>8.6999999999999994E-2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11.83</v>
      </c>
      <c r="D6" s="2768">
        <f>IF(ISERROR(ROUND(POWER(1+E6,A6-C6)*(POWER(1+E6,C6)-1)/(POWER(1+E6,A6)-1),3)),0,ROUND(POWER(1+E6,A6-C6)*(POWER(1+E6,C6)-1)/(POWER(1+E6,A6)-1),4))</f>
        <v>0.432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31.84</v>
      </c>
      <c r="D7" s="2768">
        <f>IF(ISERROR(ROUND(POWER(1+E7,A7-C7)*(POWER(1+E7,C7)-1)/(POWER(1+E7,A7)-1),3)),0,ROUND(POWER(1+E7,A7-C7)*(POWER(1+E7,C7)-1)/(POWER(1+E7,A7)-1),4))</f>
        <v>0.7621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45708</v>
      </c>
      <c r="C3" s="2186" t="s">
        <v>2171</v>
      </c>
      <c r="D3" s="2185">
        <v>45708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14"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15"/>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52645</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19</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1"/>
      <c r="C16" s="3222"/>
      <c r="D16" s="3223"/>
      <c r="E16" s="2222" t="s">
        <v>2194</v>
      </c>
      <c r="F16" s="3224"/>
      <c r="G16" s="3225"/>
      <c r="H16" s="3225"/>
      <c r="I16" s="3226"/>
      <c r="J16" s="2245"/>
      <c r="K16" s="2403"/>
      <c r="L16" s="1670"/>
      <c r="M16" s="1670"/>
      <c r="N16" s="2245"/>
      <c r="O16" s="1670"/>
      <c r="P16" s="2245"/>
      <c r="Q16" s="2245"/>
      <c r="R16" s="2245"/>
    </row>
    <row r="17" spans="1:28">
      <c r="A17" s="305" t="s">
        <v>2195</v>
      </c>
      <c r="B17" s="294" t="s">
        <v>2196</v>
      </c>
      <c r="C17" s="8">
        <f>'数据-汇总表'!E3</f>
        <v>1851.78</v>
      </c>
      <c r="D17" s="1256" t="s">
        <v>2197</v>
      </c>
      <c r="E17" s="3227" t="s">
        <v>2198</v>
      </c>
      <c r="F17" s="3228"/>
      <c r="G17" s="3228"/>
      <c r="H17" s="3228"/>
      <c r="I17" s="322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0" t="s">
        <v>2202</v>
      </c>
      <c r="F18" s="3231"/>
      <c r="G18" s="3231"/>
      <c r="H18" s="3231"/>
      <c r="I18" s="323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7" t="s">
        <v>2206</v>
      </c>
      <c r="C20" s="3218"/>
      <c r="D20" s="3219" t="s">
        <v>2207</v>
      </c>
      <c r="E20" s="3220"/>
      <c r="F20" s="2430" t="s">
        <v>1056</v>
      </c>
      <c r="G20" s="2442"/>
      <c r="H20" s="2442"/>
      <c r="I20" s="2442"/>
      <c r="J20" s="2245"/>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6"/>
      <c r="B30" s="294" t="s">
        <v>2218</v>
      </c>
      <c r="C30" s="3207"/>
      <c r="D30" s="3208"/>
      <c r="E30" s="2442"/>
      <c r="F30" s="2442"/>
      <c r="G30" s="2442"/>
      <c r="H30" s="2442"/>
      <c r="I30" s="2442"/>
      <c r="J30" s="2245"/>
      <c r="K30" s="2402"/>
      <c r="L30" s="2399"/>
      <c r="M30" s="2399"/>
      <c r="N30" s="2245"/>
      <c r="O30" s="1670"/>
      <c r="P30" s="2245"/>
      <c r="Q30" s="2245"/>
      <c r="R30" s="2245"/>
      <c r="S30" s="2245"/>
      <c r="T30" s="2245"/>
      <c r="U30" s="2245"/>
      <c r="V30" s="2245"/>
    </row>
    <row r="31" spans="1:28">
      <c r="A31" s="320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5"/>
      <c r="V34" s="2245"/>
    </row>
    <row r="35" spans="1:30">
      <c r="A35" s="2236"/>
      <c r="B35" s="3204" t="s">
        <v>2229</v>
      </c>
      <c r="C35" s="3204"/>
      <c r="D35" s="3204"/>
      <c r="E35" s="32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110</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237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1851.78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1851.78</v>
      </c>
      <c r="H5" s="13">
        <f t="shared" ref="H5:AT5" si="0">SUM(H13:H656)</f>
        <v>1851.78</v>
      </c>
      <c r="I5" s="13">
        <f t="shared" si="0"/>
        <v>1851.78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1851.78</v>
      </c>
      <c r="BA5" s="15">
        <f t="shared" si="1"/>
        <v>1851.78</v>
      </c>
      <c r="BB5" s="15">
        <f t="shared" si="1"/>
        <v>1851.78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3325</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7" t="s">
        <v>2598</v>
      </c>
      <c r="D13" s="1513" t="s">
        <v>3399</v>
      </c>
      <c r="E13" s="13">
        <f>IF($C$3="是",ROUND($A$3*G13/$B$3,2),ROUND($A$3*(G13-AT13)/$B$3,2))</f>
        <v>0</v>
      </c>
      <c r="F13" s="29"/>
      <c r="G13" s="30">
        <f>H13+AC13+AT13</f>
        <v>1851.78</v>
      </c>
      <c r="H13" s="17">
        <f>SUMIF(I$12:AB$12,"总值",I13:AB13)</f>
        <v>1851.78</v>
      </c>
      <c r="I13" s="1514">
        <v>1851.78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1851.78</v>
      </c>
      <c r="BA13" s="13">
        <f>SUM(BB13:BK13)</f>
        <v>1851.78</v>
      </c>
      <c r="BB13" s="13">
        <f>IF($D13="是",I13-J13,0)</f>
        <v>1851.78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2F83-709D-40F5-AF64-8A39EF44800B}">
  <dimension ref="B4:T28"/>
  <sheetViews>
    <sheetView tabSelected="1" topLeftCell="A76" workbookViewId="0">
      <selection activeCell="A94" sqref="A94"/>
    </sheetView>
  </sheetViews>
  <sheetFormatPr defaultRowHeight="13.5"/>
  <sheetData>
    <row r="4" spans="15:20">
      <c r="O4" s="1405"/>
    </row>
    <row r="5" spans="15:20">
      <c r="O5" s="1405"/>
      <c r="P5" s="1405"/>
      <c r="Q5" s="1405"/>
      <c r="R5" s="1405"/>
    </row>
    <row r="6" spans="15:20">
      <c r="Q6" s="3154"/>
      <c r="R6" s="3155"/>
    </row>
    <row r="7" spans="15:20">
      <c r="S7" s="3156"/>
      <c r="T7" s="1405"/>
    </row>
    <row r="8" spans="15:20">
      <c r="S8" s="3156"/>
      <c r="T8" s="1405"/>
    </row>
    <row r="9" spans="15:20">
      <c r="S9" s="3156"/>
      <c r="T9" s="1405"/>
    </row>
    <row r="10" spans="15:20">
      <c r="S10" s="3156"/>
      <c r="T10" s="1405"/>
    </row>
    <row r="11" spans="15:20">
      <c r="S11" s="3156"/>
      <c r="T11" s="1405"/>
    </row>
    <row r="12" spans="15:20">
      <c r="S12" s="3156"/>
      <c r="T12" s="1405"/>
    </row>
    <row r="15" spans="15:20">
      <c r="S15" s="3156"/>
    </row>
    <row r="26" spans="2:2">
      <c r="B26">
        <v>1120</v>
      </c>
    </row>
    <row r="27" spans="2:2">
      <c r="B27">
        <v>1851.78</v>
      </c>
    </row>
    <row r="28" spans="2:2">
      <c r="B28">
        <f>B26*10000/B27/365</f>
        <v>16.570505949329466</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9"/>
      <c r="G2" s="2432"/>
      <c r="H2" s="2433"/>
      <c r="I2" s="2146" t="s">
        <v>1132</v>
      </c>
      <c r="J2" s="2439"/>
      <c r="K2" s="2439"/>
      <c r="L2" s="2439"/>
      <c r="M2" s="2439"/>
      <c r="N2" s="2440"/>
      <c r="O2" s="2439"/>
      <c r="P2" s="2439"/>
    </row>
    <row r="3" spans="1:16" ht="15.75" thickBot="1">
      <c r="A3" s="3243" t="s">
        <v>1105</v>
      </c>
      <c r="B3" s="3243"/>
      <c r="C3" s="3243"/>
      <c r="D3" s="41">
        <f>'数据-基础表'!AY6</f>
        <v>0</v>
      </c>
      <c r="E3" s="41">
        <f>'数据-基础表'!AZ5</f>
        <v>1851.78</v>
      </c>
      <c r="F3" s="2439"/>
      <c r="G3" s="42"/>
      <c r="H3" s="43" t="s">
        <v>1106</v>
      </c>
      <c r="I3" s="802" t="e">
        <f>ROUND('数据-基础表'!B3/'数据-基础表'!A3,2)</f>
        <v>#DIV/0!</v>
      </c>
      <c r="J3" s="2439"/>
      <c r="K3" s="2439"/>
      <c r="L3" s="2439"/>
      <c r="M3" s="2439"/>
      <c r="N3" s="2440"/>
      <c r="O3" s="2439"/>
      <c r="P3" s="2439"/>
    </row>
    <row r="4" spans="1:16" ht="15">
      <c r="A4" s="3244"/>
      <c r="B4" s="3245"/>
      <c r="C4" s="324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7" t="s">
        <v>1110</v>
      </c>
      <c r="C5" s="324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7" t="s">
        <v>1111</v>
      </c>
      <c r="C6" s="3247"/>
      <c r="D6" s="43">
        <f>ROUND($D$3*E6/$E$3,2)</f>
        <v>0</v>
      </c>
      <c r="E6" s="44">
        <f>E3-E5</f>
        <v>1851.78</v>
      </c>
      <c r="F6" s="2439"/>
      <c r="G6" s="1529" t="s">
        <v>1112</v>
      </c>
      <c r="H6" s="45" t="s">
        <v>1113</v>
      </c>
      <c r="I6" s="2435" t="e">
        <f>ROUND(F31/D31,2)</f>
        <v>#DIV/0!</v>
      </c>
      <c r="J6" s="2439"/>
      <c r="K6" s="2439"/>
      <c r="L6" s="2439"/>
      <c r="M6" s="2439"/>
      <c r="N6" s="2439"/>
      <c r="O6" s="2439"/>
      <c r="P6" s="2439"/>
    </row>
    <row r="7" spans="1:16" ht="15.75" thickBot="1">
      <c r="A7" s="3239"/>
      <c r="B7" s="3240"/>
      <c r="C7" s="3241"/>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1851.78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1851.78</v>
      </c>
      <c r="F16" s="2439"/>
      <c r="G16" s="2439"/>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1851.78</v>
      </c>
      <c r="F19" s="2558">
        <f>'数据-基础表'!I13</f>
        <v>1851.78</v>
      </c>
      <c r="G19" s="1243">
        <f>'数据-基础表'!K13+'数据-基础表'!M13</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1851.78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1851.78</v>
      </c>
      <c r="F27" s="1072">
        <f>IF(SUM(F19:F26)=E8,SUM(F19:F26),"地上面积有误")</f>
        <v>1851.78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1851.78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1851.78</v>
      </c>
      <c r="F31" s="644">
        <f>F27+F30</f>
        <v>1851.78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52645</v>
      </c>
      <c r="F6" s="61">
        <f>SUMIF(项目基本情况!C$12:I$12,C6,项目基本情况!C$15:I$15)</f>
        <v>19</v>
      </c>
      <c r="G6" s="62">
        <f>IF(ISERROR(ROUND(POWER(1+H6,D6-F6)*(POWER(1+H6,F6)-1)/(POWER(1+H6,D6)-1),3)),0,ROUND(POWER(1+H6,D6-F6)*(POWER(1+H6,F6)-1)/(POWER(1+H6,D6)-1),3))</f>
        <v>0.70399999999999996</v>
      </c>
      <c r="H6" s="691">
        <v>0.05</v>
      </c>
      <c r="I6" s="691">
        <v>5.5E-2</v>
      </c>
      <c r="J6" s="63">
        <v>7.0000000000000007E-2</v>
      </c>
      <c r="K6" s="970">
        <f>SUMIF('数据-汇总表'!C$19:C$33,A6,'数据-汇总表'!E$19:E$33)</f>
        <v>1851.78</v>
      </c>
      <c r="L6" s="692">
        <v>4000</v>
      </c>
      <c r="M6" s="64">
        <f t="shared" ref="M6:M14" si="0">ROUND(K6*L6/10000,0)</f>
        <v>741</v>
      </c>
      <c r="N6" s="690">
        <f>ROUND(1-(2025-2006)/60,2)</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10</v>
      </c>
      <c r="V6" s="67">
        <v>0.02</v>
      </c>
      <c r="W6" s="67">
        <v>0.1</v>
      </c>
      <c r="X6" s="979"/>
      <c r="Y6" s="68">
        <f>N6</f>
        <v>0.68</v>
      </c>
      <c r="Z6" s="69"/>
      <c r="AA6" s="63"/>
      <c r="AB6" s="63"/>
      <c r="AC6" s="979"/>
      <c r="AD6" s="70"/>
      <c r="AE6" s="980">
        <f ca="1">IF(AN6="",0,SUMIF(INDIRECT("'"&amp;AN6&amp;"'"&amp;"!E:E"),$AE$5,INDIRECT("'"&amp;AN6&amp;"'"&amp;"!F:F")))</f>
        <v>19</v>
      </c>
      <c r="AF6" s="74"/>
      <c r="AG6" s="130">
        <f>IF(AF6="",0,AE6-AF6)</f>
        <v>0</v>
      </c>
      <c r="AH6" s="71"/>
      <c r="AI6" s="73">
        <v>365</v>
      </c>
      <c r="AJ6" s="74"/>
      <c r="AK6" s="75">
        <v>2E-3</v>
      </c>
      <c r="AL6" s="76">
        <v>1E-3</v>
      </c>
      <c r="AM6" s="77">
        <v>0.01</v>
      </c>
      <c r="AN6" s="1589" t="s">
        <v>3413</v>
      </c>
      <c r="AO6" s="50">
        <f ca="1">SUMIF(INDIRECT("'"&amp;AN6&amp;"'"&amp;"!A:A"),"总价",INDIRECT("'"&amp;AN6&amp;"'"&amp;"!B:B"))</f>
        <v>6901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0.70399999999999996</v>
      </c>
      <c r="H16" s="84">
        <f>ROUND(SUMPRODUCT(H6:H13,K6:K13)/SUMPRODUCT((H6:H13&gt;0)*(K6:K13)),3)</f>
        <v>0.05</v>
      </c>
      <c r="I16" s="85"/>
      <c r="J16" s="85"/>
      <c r="K16" s="86">
        <f>SUM(K6:K15)</f>
        <v>1851.78</v>
      </c>
      <c r="L16" s="87">
        <f>ROUND(M16*10000/SUM(K6:K14),0)</f>
        <v>4002</v>
      </c>
      <c r="M16" s="87">
        <f>SUM(M6:M14)</f>
        <v>741</v>
      </c>
      <c r="N16" s="88">
        <f>ROUND(SUMPRODUCT(M6:M14,N6:N14)/M16,3)</f>
        <v>0.68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37</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2277</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1851.78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45708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7904</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1851.78</v>
      </c>
      <c r="C14" s="2306"/>
      <c r="D14" s="2306">
        <f ca="1">结果表!G19</f>
        <v>7904</v>
      </c>
      <c r="E14" s="2306">
        <f ca="1">ROUND(D14*10000/B14,0)</f>
        <v>42683</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5" sqref="G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4" t="str">
        <f>项目基本情况!S2</f>
        <v>北京市房地产</v>
      </c>
      <c r="B2" s="3285"/>
      <c r="C2" s="3285"/>
      <c r="D2" s="3285"/>
      <c r="E2" s="3285"/>
      <c r="F2" s="3285"/>
      <c r="G2" s="3285"/>
      <c r="H2" s="3285"/>
      <c r="I2" s="3286"/>
    </row>
    <row r="3" spans="1:12" ht="12.75">
      <c r="A3" s="3288" t="s">
        <v>1264</v>
      </c>
      <c r="B3" s="3289"/>
      <c r="C3" s="3289"/>
      <c r="D3" s="3289"/>
      <c r="E3" s="3289"/>
      <c r="F3" s="3289"/>
      <c r="G3" s="3289"/>
      <c r="H3" s="3289"/>
      <c r="I3" s="3289"/>
    </row>
    <row r="4" spans="1:12" ht="14.25">
      <c r="A4" s="1624" t="s">
        <v>1265</v>
      </c>
      <c r="B4" s="1625" t="s">
        <v>1266</v>
      </c>
      <c r="C4" s="1626" t="s">
        <v>3428</v>
      </c>
      <c r="D4" s="1626" t="s">
        <v>3413</v>
      </c>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4" t="s">
        <v>1268</v>
      </c>
      <c r="B5" s="3251">
        <v>25</v>
      </c>
      <c r="C5" s="3267"/>
      <c r="D5" s="3287"/>
      <c r="E5" s="123" t="s">
        <v>1269</v>
      </c>
      <c r="F5" s="1627"/>
      <c r="G5" s="1627"/>
      <c r="H5" s="1627"/>
      <c r="I5" s="1281"/>
    </row>
    <row r="6" spans="1:12" ht="12.75">
      <c r="A6" s="3264"/>
      <c r="B6" s="3251"/>
      <c r="C6" s="3268"/>
      <c r="D6" s="3287"/>
      <c r="E6" s="123" t="s">
        <v>1270</v>
      </c>
      <c r="F6" s="1627"/>
      <c r="G6" s="1627"/>
      <c r="H6" s="1627"/>
      <c r="I6" s="1281"/>
    </row>
    <row r="7" spans="1:12" ht="12.75">
      <c r="A7" s="3264"/>
      <c r="B7" s="3251"/>
      <c r="C7" s="3269"/>
      <c r="D7" s="3287"/>
      <c r="E7" s="123" t="s">
        <v>1271</v>
      </c>
      <c r="F7" s="1627"/>
      <c r="G7" s="1627"/>
      <c r="H7" s="1627"/>
      <c r="I7" s="1281"/>
    </row>
    <row r="8" spans="1:12" ht="12.75">
      <c r="A8" s="3264" t="s">
        <v>1272</v>
      </c>
      <c r="B8" s="3251">
        <v>15</v>
      </c>
      <c r="C8" s="3267"/>
      <c r="D8" s="3287"/>
      <c r="E8" s="123" t="s">
        <v>1273</v>
      </c>
      <c r="F8" s="1627"/>
      <c r="G8" s="1627"/>
      <c r="H8" s="1627"/>
      <c r="I8" s="1281"/>
    </row>
    <row r="9" spans="1:12" ht="12.75">
      <c r="A9" s="3264"/>
      <c r="B9" s="3251"/>
      <c r="C9" s="3269"/>
      <c r="D9" s="3287"/>
      <c r="E9" s="123" t="s">
        <v>1274</v>
      </c>
      <c r="F9" s="1627"/>
      <c r="G9" s="1627"/>
      <c r="H9" s="1627"/>
      <c r="I9" s="1281"/>
    </row>
    <row r="10" spans="1:12" ht="12.75">
      <c r="A10" s="3264" t="s">
        <v>1275</v>
      </c>
      <c r="B10" s="3251">
        <v>15</v>
      </c>
      <c r="C10" s="3267"/>
      <c r="D10" s="3287"/>
      <c r="E10" s="123" t="s">
        <v>1276</v>
      </c>
      <c r="F10" s="1627"/>
      <c r="G10" s="1627"/>
      <c r="H10" s="1627"/>
      <c r="I10" s="1281"/>
    </row>
    <row r="11" spans="1:12" ht="12.75">
      <c r="A11" s="3264"/>
      <c r="B11" s="3251"/>
      <c r="C11" s="3269"/>
      <c r="D11" s="3287"/>
      <c r="E11" s="123" t="s">
        <v>1277</v>
      </c>
      <c r="F11" s="1627"/>
      <c r="G11" s="1627"/>
      <c r="H11" s="1627"/>
      <c r="I11" s="1281"/>
    </row>
    <row r="12" spans="1:12" ht="12.75">
      <c r="A12" s="3264" t="s">
        <v>1278</v>
      </c>
      <c r="B12" s="3251">
        <v>15</v>
      </c>
      <c r="C12" s="3267"/>
      <c r="D12" s="3287"/>
      <c r="E12" s="123" t="s">
        <v>1279</v>
      </c>
      <c r="F12" s="1627"/>
      <c r="G12" s="1627"/>
      <c r="H12" s="1627"/>
      <c r="I12" s="1281"/>
    </row>
    <row r="13" spans="1:12" ht="12.75">
      <c r="A13" s="3264"/>
      <c r="B13" s="3251"/>
      <c r="C13" s="3269"/>
      <c r="D13" s="3287"/>
      <c r="E13" s="123" t="s">
        <v>1280</v>
      </c>
      <c r="F13" s="1627"/>
      <c r="G13" s="1627"/>
      <c r="H13" s="1627"/>
      <c r="I13" s="1281"/>
    </row>
    <row r="14" spans="1:12" ht="12.75">
      <c r="A14" s="3264" t="s">
        <v>1281</v>
      </c>
      <c r="B14" s="3251">
        <v>30</v>
      </c>
      <c r="C14" s="3267">
        <v>5</v>
      </c>
      <c r="D14" s="3287">
        <v>5</v>
      </c>
      <c r="E14" s="123" t="s">
        <v>1282</v>
      </c>
      <c r="F14" s="1627"/>
      <c r="G14" s="1627"/>
      <c r="H14" s="1627"/>
      <c r="I14" s="1281"/>
    </row>
    <row r="15" spans="1:12" ht="12.75">
      <c r="A15" s="3264"/>
      <c r="B15" s="3251"/>
      <c r="C15" s="3268"/>
      <c r="D15" s="3287"/>
      <c r="E15" s="123" t="s">
        <v>1283</v>
      </c>
      <c r="F15" s="1627"/>
      <c r="G15" s="1627"/>
      <c r="H15" s="1627"/>
      <c r="I15" s="1281"/>
    </row>
    <row r="16" spans="1:12" ht="12.75">
      <c r="A16" s="3264"/>
      <c r="B16" s="3251"/>
      <c r="C16" s="3269"/>
      <c r="D16" s="3287"/>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4" t="s">
        <v>2131</v>
      </c>
      <c r="F18" s="3275"/>
      <c r="G18" s="3275"/>
      <c r="H18" s="3275"/>
      <c r="I18" s="3275"/>
      <c r="K18" s="294" t="s">
        <v>1289</v>
      </c>
      <c r="L18" s="294">
        <f>IF(C1="",'数据-汇总表'!E3,SUMIF(项目类型,C1,'数据-汇总表'!E17:E26)+SUMIF(项目类型,C1,'数据-汇总表'!I17:I26))</f>
        <v>1851.78</v>
      </c>
      <c r="M18" s="294">
        <f>IF(C1="",'数据-汇总表'!E3,SUMIF(项目类型,C1,'数据-汇总表'!E17:E26))</f>
        <v>1851.78</v>
      </c>
    </row>
    <row r="19" spans="1:36" ht="15">
      <c r="A19" s="1630" t="s">
        <v>1290</v>
      </c>
      <c r="B19" s="1631" t="s">
        <v>1291</v>
      </c>
      <c r="C19" s="126">
        <f ca="1">SUMIF(INDIRECT("'"&amp;C4&amp;"'"&amp;"!A:A"),结果表!B19,INDIRECT("'"&amp;C4&amp;"'"&amp;"!B:B"))</f>
        <v>8907</v>
      </c>
      <c r="D19" s="127">
        <f ca="1">SUMIF(INDIRECT("'"&amp;D4&amp;"'"&amp;"!A:A"),结果表!B19,INDIRECT("'"&amp;D4&amp;"'"&amp;"!B:B"))</f>
        <v>6901</v>
      </c>
      <c r="E19" s="1630" t="s">
        <v>1292</v>
      </c>
      <c r="F19" s="1631" t="s">
        <v>1291</v>
      </c>
      <c r="G19" s="128">
        <f ca="1">ROUND(C19*$C$18+D19*$D$18,0)</f>
        <v>7904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48098</v>
      </c>
      <c r="D20" s="130">
        <f ca="1">SUMIF(INDIRECT("'"&amp;D4&amp;"'"&amp;"!A:A"),结果表!B20,INDIRECT("'"&amp;D4&amp;"'"&amp;"!B:B"))</f>
        <v>37267</v>
      </c>
      <c r="E20" s="1633"/>
      <c r="F20" s="43" t="s">
        <v>1295</v>
      </c>
      <c r="G20" s="131">
        <f ca="1">ROUND(C20*$C$18+D20*$D$18,0)</f>
        <v>42683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0.29068250978119115</v>
      </c>
      <c r="E22" s="121"/>
      <c r="F22" s="121"/>
      <c r="G22" s="121"/>
      <c r="H22" s="121"/>
      <c r="I22" s="121"/>
    </row>
    <row r="23" spans="1:36" ht="13.5" thickBot="1">
      <c r="A23" s="646"/>
      <c r="B23" s="646"/>
      <c r="C23" s="646"/>
      <c r="D23" s="646"/>
      <c r="E23" s="121"/>
      <c r="F23" s="121"/>
      <c r="G23" s="121"/>
      <c r="H23" s="121"/>
      <c r="I23" s="121"/>
    </row>
    <row r="24" spans="1:36" ht="14.25">
      <c r="A24" s="3258" t="s">
        <v>1299</v>
      </c>
      <c r="B24" s="1631" t="s">
        <v>1291</v>
      </c>
      <c r="C24" s="128">
        <f>IF(B30=0,0,D30)</f>
        <v>0</v>
      </c>
      <c r="D24" s="1637"/>
      <c r="E24" s="121"/>
      <c r="F24" s="121"/>
      <c r="G24" s="121"/>
      <c r="H24" s="121"/>
      <c r="I24" s="121"/>
    </row>
    <row r="25" spans="1:36" ht="14.25">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42683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8" t="s">
        <v>1312</v>
      </c>
      <c r="B36" s="1652" t="s">
        <v>1313</v>
      </c>
      <c r="C36" s="137"/>
      <c r="D36" s="1653"/>
      <c r="E36" s="1567"/>
      <c r="F36" s="1654"/>
      <c r="G36" s="121"/>
      <c r="H36" s="121"/>
      <c r="I36" s="121"/>
    </row>
    <row r="37" spans="1:15" ht="15.75" thickBot="1">
      <c r="A37" s="3279"/>
      <c r="B37" s="1555" t="s">
        <v>1314</v>
      </c>
      <c r="C37" s="139"/>
      <c r="D37" s="1071"/>
      <c r="E37" s="1071"/>
      <c r="F37" s="1654"/>
      <c r="G37" s="121"/>
      <c r="H37" s="121"/>
      <c r="I37" s="121"/>
    </row>
    <row r="38" spans="1:15" ht="15.75" thickBot="1">
      <c r="A38" s="328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t="e">
        <f ca="1">ROUND(H101*F45,0)</f>
        <v>#REF!</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45708</v>
      </c>
      <c r="N47" s="3335"/>
      <c r="O47" s="3335"/>
    </row>
    <row r="48" spans="1:15" ht="25.5">
      <c r="A48" s="3283" t="s">
        <v>1338</v>
      </c>
      <c r="B48" s="3266"/>
      <c r="C48" s="326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4" t="s">
        <v>1340</v>
      </c>
      <c r="L48" s="3314"/>
      <c r="M48" s="3336" t="e">
        <f ca="1">H101</f>
        <v>#REF!</v>
      </c>
      <c r="N48" s="3336"/>
      <c r="O48" s="3336"/>
    </row>
    <row r="49" spans="1:35" ht="25.5" customHeight="1">
      <c r="A49" s="2152" t="s">
        <v>1341</v>
      </c>
      <c r="B49" s="3250" t="s">
        <v>1342</v>
      </c>
      <c r="C49" s="3250"/>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t="e">
        <f ca="1">IF(项目基本情况!E8="房地产抵押价值",H107,H109)</f>
        <v>#REF!</v>
      </c>
      <c r="N49" s="3336"/>
      <c r="O49" s="3336"/>
    </row>
    <row r="50" spans="1:35" ht="25.5" customHeight="1">
      <c r="A50" s="2338"/>
      <c r="B50" s="3250" t="s">
        <v>1344</v>
      </c>
      <c r="C50" s="3250"/>
      <c r="D50" s="2189"/>
      <c r="E50" s="323"/>
      <c r="F50" s="2233"/>
      <c r="G50" s="3321"/>
      <c r="H50" s="2136" t="s">
        <v>2135</v>
      </c>
      <c r="I50" s="2135"/>
      <c r="J50" s="3333" t="s">
        <v>1345</v>
      </c>
      <c r="K50" s="3333"/>
      <c r="L50" s="3333"/>
      <c r="M50" s="3333"/>
      <c r="N50" s="3333"/>
      <c r="O50" s="3333"/>
    </row>
    <row r="51" spans="1:35" ht="20.45" customHeight="1">
      <c r="A51" s="2339"/>
      <c r="B51" s="3250" t="s">
        <v>1346</v>
      </c>
      <c r="C51" s="3250"/>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50" t="s">
        <v>1353</v>
      </c>
      <c r="C52" s="3250"/>
      <c r="D52" s="1024" t="e">
        <f ca="1">ROUND(D45*'数据-取费表'!B41/(1+'数据-取费表'!C42),0)</f>
        <v>#REF!</v>
      </c>
      <c r="E52" s="1256" t="s">
        <v>1354</v>
      </c>
      <c r="F52" s="2340">
        <f>'数据-取费表'!B41</f>
        <v>5.6000000000000001E-2</v>
      </c>
      <c r="G52" s="2341"/>
      <c r="H52" s="2331"/>
      <c r="I52" s="1669"/>
      <c r="J52" s="2310">
        <v>1</v>
      </c>
      <c r="K52" s="3315" t="s">
        <v>1355</v>
      </c>
      <c r="L52" s="3315"/>
      <c r="M52" s="2312" t="b">
        <f>D48</f>
        <v>0</v>
      </c>
      <c r="N52" s="2310" t="str">
        <f>E48</f>
        <v>销售额×税（费）率</v>
      </c>
      <c r="O52" s="2313">
        <f>F48</f>
        <v>5.6000000000000001E-2</v>
      </c>
    </row>
    <row r="53" spans="1:35" ht="12" customHeight="1">
      <c r="A53" s="2153" t="s">
        <v>1356</v>
      </c>
      <c r="B53" s="3276" t="s">
        <v>2282</v>
      </c>
      <c r="C53" s="3277"/>
      <c r="D53" s="1024" t="e">
        <f ca="1">ROUND(D45*'数据-取费表'!B41/(1+'数据-取费表'!C42),0)</f>
        <v>#REF!</v>
      </c>
      <c r="E53" s="1256" t="s">
        <v>1354</v>
      </c>
      <c r="F53" s="2340">
        <f>'数据-取费表'!B41</f>
        <v>5.6000000000000001E-2</v>
      </c>
      <c r="G53" s="2341"/>
      <c r="H53" s="2331"/>
      <c r="I53" s="1669"/>
      <c r="J53" s="2310">
        <v>2</v>
      </c>
      <c r="K53" s="3315" t="s">
        <v>1357</v>
      </c>
      <c r="L53" s="3315"/>
      <c r="M53" s="2312" t="e">
        <f t="shared" ref="M53:O54" ca="1" si="0">D55</f>
        <v>#REF!</v>
      </c>
      <c r="N53" s="2310" t="str">
        <f t="shared" si="0"/>
        <v>销售额×税（费）率</v>
      </c>
      <c r="O53" s="2313" t="str">
        <f t="shared" si="0"/>
        <v>免征</v>
      </c>
    </row>
    <row r="54" spans="1:35" ht="12" customHeight="1">
      <c r="A54" s="2153" t="s">
        <v>1358</v>
      </c>
      <c r="B54" s="3276" t="s">
        <v>2283</v>
      </c>
      <c r="C54" s="3277"/>
      <c r="D54" s="1024" t="e">
        <f ca="1">C68</f>
        <v>#REF!</v>
      </c>
      <c r="E54" s="319" t="s">
        <v>1359</v>
      </c>
      <c r="F54" s="2340">
        <f>'数据-取费表'!B41</f>
        <v>5.6000000000000001E-2</v>
      </c>
      <c r="G54" s="2341"/>
      <c r="H54" s="2342"/>
      <c r="I54" s="1669"/>
      <c r="J54" s="2310">
        <v>3</v>
      </c>
      <c r="K54" s="3315" t="s">
        <v>1360</v>
      </c>
      <c r="L54" s="3315"/>
      <c r="M54" s="2312" t="e">
        <f t="shared" ca="1" si="0"/>
        <v>#REF!</v>
      </c>
      <c r="N54" s="2310" t="str">
        <f t="shared" si="0"/>
        <v>增值额×税（费）率</v>
      </c>
      <c r="O54" s="2314" t="str">
        <f t="shared" si="0"/>
        <v>免征</v>
      </c>
    </row>
    <row r="55" spans="1:35" ht="24" customHeight="1">
      <c r="A55" s="3265" t="s">
        <v>1361</v>
      </c>
      <c r="B55" s="3266"/>
      <c r="C55" s="3266"/>
      <c r="D55" s="12" t="e">
        <f ca="1">IF(H55="个人住宅",0,ROUND(D45*I55,0))</f>
        <v>#REF!</v>
      </c>
      <c r="E55" s="1256" t="s">
        <v>1362</v>
      </c>
      <c r="F55" s="2340" t="str">
        <f>IF(H55="正常",I55,"免征")</f>
        <v>免征</v>
      </c>
      <c r="G55" s="2341"/>
      <c r="H55" s="2337"/>
      <c r="I55" s="157">
        <f>'数据-取费表'!B49</f>
        <v>5.0000000000000001E-4</v>
      </c>
      <c r="J55" s="2310">
        <f>IF(H59="非个人房产","",4)</f>
        <v>4</v>
      </c>
      <c r="K55" s="3315" t="str">
        <f>IF(H59="非个人房产","——","个人所得税")</f>
        <v>个人所得税</v>
      </c>
      <c r="L55" s="3315"/>
      <c r="M55" s="2315" t="e">
        <f ca="1">D59</f>
        <v>#REF!</v>
      </c>
      <c r="N55" s="1883" t="str">
        <f>E59</f>
        <v>差额计税</v>
      </c>
      <c r="O55" s="2316">
        <f>F59</f>
        <v>0.01</v>
      </c>
    </row>
    <row r="56" spans="1:35" ht="24.75">
      <c r="A56" s="3265" t="s">
        <v>1363</v>
      </c>
      <c r="B56" s="3266"/>
      <c r="C56" s="3266"/>
      <c r="D56" s="12" t="e">
        <f ca="1">IF(H56="个人住宅",D57,D58)</f>
        <v>#REF!</v>
      </c>
      <c r="E56" s="1256" t="s">
        <v>1364</v>
      </c>
      <c r="F56" s="2340" t="str">
        <f>IF(H56="正常",F58,"免征")</f>
        <v>免征</v>
      </c>
      <c r="G56" s="2343" t="s">
        <v>1365</v>
      </c>
      <c r="H56" s="2344"/>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2.75">
      <c r="A57" s="2153" t="s">
        <v>1341</v>
      </c>
      <c r="B57" s="3276" t="s">
        <v>1366</v>
      </c>
      <c r="C57" s="3277"/>
      <c r="D57" s="1478">
        <v>0</v>
      </c>
      <c r="E57" s="316" t="s">
        <v>1343</v>
      </c>
      <c r="F57" s="294"/>
      <c r="G57" s="2341"/>
      <c r="H57" s="2345"/>
      <c r="I57" s="1670"/>
      <c r="J57" s="3315">
        <f>IF(AND(J55="",J56=""),4,IF(项目基本情况!K6="上海银行",结果表!J56+1,结果表!J55+1))</f>
        <v>5</v>
      </c>
      <c r="K57" s="3315" t="s">
        <v>1367</v>
      </c>
      <c r="L57" s="2317" t="s">
        <v>1368</v>
      </c>
      <c r="M57" s="2318"/>
      <c r="N57" s="2319">
        <f ca="1">SUMIF(M52:M56,"&lt;9e307")</f>
        <v>0</v>
      </c>
      <c r="O57" s="2320"/>
      <c r="P57" s="2465" t="e">
        <f ca="1">N57/M49</f>
        <v>#REF!</v>
      </c>
    </row>
    <row r="58" spans="1:35" ht="24.75">
      <c r="A58" s="2153" t="s">
        <v>1352</v>
      </c>
      <c r="B58" s="3276" t="s">
        <v>1369</v>
      </c>
      <c r="C58" s="3250"/>
      <c r="D58" s="12" t="e">
        <f ca="1">IF(H58="转让取得",C81,C97)</f>
        <v>#REF!</v>
      </c>
      <c r="E58" s="1256" t="s">
        <v>1364</v>
      </c>
      <c r="F58" s="294" t="s">
        <v>28</v>
      </c>
      <c r="G58" s="2341"/>
      <c r="H58" s="2344"/>
      <c r="I58" s="1670"/>
      <c r="J58" s="3315"/>
      <c r="K58" s="3315"/>
      <c r="L58" s="2317" t="s">
        <v>1370</v>
      </c>
      <c r="M58" s="2321"/>
      <c r="N58" s="2322" t="str">
        <f ca="1">NUMBERSTRING(INT(N57*10000),2)&amp;"元整"</f>
        <v>零元整</v>
      </c>
      <c r="O58" s="2323"/>
    </row>
    <row r="59" spans="1:35" ht="24.75" thickBot="1">
      <c r="A59" s="3318" t="s">
        <v>1371</v>
      </c>
      <c r="B59" s="3319"/>
      <c r="C59" s="331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6">
        <f>J57+1</f>
        <v>6</v>
      </c>
      <c r="K59" s="3315" t="s">
        <v>1372</v>
      </c>
      <c r="L59" s="2310" t="s">
        <v>1368</v>
      </c>
      <c r="M59" s="2324"/>
      <c r="N59" s="2325" t="e">
        <f ca="1">M49-N57</f>
        <v>#REF!</v>
      </c>
      <c r="O59" s="2326"/>
    </row>
    <row r="60" spans="1:35" ht="12" customHeight="1">
      <c r="A60" s="1671"/>
      <c r="B60" s="646"/>
      <c r="C60" s="646"/>
      <c r="D60" s="646"/>
      <c r="E60" s="1466"/>
      <c r="F60" s="1670"/>
      <c r="G60" s="1670"/>
      <c r="H60" s="151"/>
      <c r="I60" s="121"/>
      <c r="J60" s="3317"/>
      <c r="K60" s="3315"/>
      <c r="L60" s="2317" t="s">
        <v>1370</v>
      </c>
      <c r="M60" s="2321"/>
      <c r="N60" s="2322" t="e">
        <f ca="1">NUMBERSTRING(INT(N59*10000),2)&amp;"元整"</f>
        <v>#REF!</v>
      </c>
      <c r="O60" s="2323"/>
    </row>
    <row r="61" spans="1:35" ht="13.5" thickBot="1">
      <c r="A61" s="3263" t="s">
        <v>1373</v>
      </c>
      <c r="B61" s="3263"/>
      <c r="C61" s="3263"/>
      <c r="D61" s="3263"/>
      <c r="E61" s="3263"/>
      <c r="F61" s="1670"/>
      <c r="G61" s="1670"/>
      <c r="H61" s="151"/>
      <c r="I61" s="121"/>
      <c r="J61" s="2310">
        <f>J59+1</f>
        <v>7</v>
      </c>
      <c r="K61" s="3315" t="s">
        <v>1374</v>
      </c>
      <c r="L61" s="3315"/>
      <c r="M61" s="2327"/>
      <c r="N61" s="2328" t="e">
        <f ca="1">ROUND(N59*10000/'数据-汇总表'!E3,0)</f>
        <v>#REF!</v>
      </c>
      <c r="O61" s="2329"/>
    </row>
    <row r="62" spans="1:35" ht="12.75">
      <c r="A62" s="3281" t="s">
        <v>1375</v>
      </c>
      <c r="B62" s="328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0"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340"/>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340"/>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0"/>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40"/>
      <c r="K69" s="1245" t="s">
        <v>1393</v>
      </c>
      <c r="L69" s="1245"/>
      <c r="M69" s="294" t="e">
        <f ca="1">ROUND(SUM(M63:M68),0)</f>
        <v>#REF!</v>
      </c>
      <c r="N69" s="2332" t="e">
        <f ca="1">M69/M49</f>
        <v>#REF!</v>
      </c>
      <c r="Z69" s="1623"/>
      <c r="AI69" s="1561"/>
    </row>
    <row r="70" spans="1:35" s="642" customFormat="1" ht="15"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2" t="s">
        <v>2129</v>
      </c>
      <c r="H90" s="334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0" t="s">
        <v>1422</v>
      </c>
      <c r="F92" s="3261"/>
      <c r="G92" s="3261"/>
      <c r="H92" s="327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71" t="str">
        <f>C4</f>
        <v>比较法-商业</v>
      </c>
      <c r="D101" s="2372" t="str">
        <f>D4</f>
        <v>收益法</v>
      </c>
      <c r="E101" s="3337" t="s">
        <v>1431</v>
      </c>
      <c r="F101" s="3294"/>
      <c r="G101" s="1687" t="s">
        <v>1432</v>
      </c>
      <c r="H101" s="2381" t="e">
        <f ca="1">H118</f>
        <v>#REF!</v>
      </c>
      <c r="I101" s="121"/>
    </row>
    <row r="102" spans="1:35" ht="18.75" customHeight="1">
      <c r="A102" s="3296" t="s">
        <v>1433</v>
      </c>
      <c r="B102" s="2370" t="s">
        <v>1432</v>
      </c>
      <c r="C102" s="2371">
        <f ca="1">IF(D32="楼面单价",ROUND(C19,0),C19)</f>
        <v>8907</v>
      </c>
      <c r="D102" s="2372">
        <f ca="1">IF(D32="楼面单价",ROUND(D19,0),D19)</f>
        <v>6901</v>
      </c>
      <c r="E102" s="3337"/>
      <c r="F102" s="3294"/>
      <c r="G102" s="1687" t="s">
        <v>1434</v>
      </c>
      <c r="H102" s="2341" t="e">
        <f ca="1">I118</f>
        <v>#REF!</v>
      </c>
      <c r="I102" s="121"/>
    </row>
    <row r="103" spans="1:35" ht="42.75" customHeight="1">
      <c r="A103" s="3296"/>
      <c r="B103" s="2370" t="s">
        <v>1434</v>
      </c>
      <c r="C103" s="2373">
        <f ca="1">C20</f>
        <v>48098</v>
      </c>
      <c r="D103" s="2374">
        <f ca="1">D20</f>
        <v>37267</v>
      </c>
      <c r="E103" s="3331" t="s">
        <v>1435</v>
      </c>
      <c r="F103" s="3332"/>
      <c r="G103" s="1688" t="s">
        <v>1436</v>
      </c>
      <c r="H103" s="2381">
        <f>IF(D36="正常操作",H104+H105+H106,H105+H106)</f>
        <v>0</v>
      </c>
      <c r="I103" s="121"/>
    </row>
    <row r="104" spans="1:35" ht="18.75" customHeight="1">
      <c r="A104" s="329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94"/>
      <c r="G107" s="1687" t="s">
        <v>1432</v>
      </c>
      <c r="H107" s="2381" t="e">
        <f ca="1">IF(E107="——","——",H101-H103)</f>
        <v>#REF!</v>
      </c>
      <c r="I107" s="121"/>
    </row>
    <row r="108" spans="1:35" ht="18.75" customHeight="1">
      <c r="A108" s="121"/>
      <c r="B108" s="121"/>
      <c r="C108" s="121"/>
      <c r="D108" s="121"/>
      <c r="E108" s="3293"/>
      <c r="F108" s="3294"/>
      <c r="G108" s="1687" t="s">
        <v>1434</v>
      </c>
      <c r="H108" s="2341" t="e">
        <f ca="1">IF(H107=H101,H102,ROUND(H107*10000/'数据-汇总表'!E3,0))</f>
        <v>#REF!</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4" t="str">
        <f>IF(E109="——","——",H101-H105-H106)</f>
        <v>——</v>
      </c>
      <c r="I109" s="121"/>
    </row>
    <row r="110" spans="1:35" ht="18.75" customHeight="1">
      <c r="A110" s="121"/>
      <c r="B110" s="121"/>
      <c r="C110" s="121"/>
      <c r="D110" s="121"/>
      <c r="E110" s="3293"/>
      <c r="F110" s="3294"/>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1851.78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4" t="s">
        <v>1452</v>
      </c>
      <c r="B119" s="3264"/>
      <c r="C119" s="3264"/>
      <c r="D119" s="3304" t="e">
        <f ca="1">NUMBERSTRING(INT(D118*10000),2)&amp;"元整"</f>
        <v>#REF!</v>
      </c>
      <c r="E119" s="3306"/>
      <c r="F119" s="3304" t="e">
        <f ca="1">NUMBERSTRING(INT(F118*10000),2)&amp;"元整"</f>
        <v>#REF!</v>
      </c>
      <c r="G119" s="3306"/>
      <c r="H119" s="3304" t="e">
        <f ca="1">NUMBERSTRING(INT(H118*10000),2)&amp;"元整"</f>
        <v>#REF!</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t="e">
        <f ca="1">H107</f>
        <v>#REF!</v>
      </c>
      <c r="E122" s="3329"/>
      <c r="F122" s="3329"/>
      <c r="G122" s="3329"/>
      <c r="H122" s="3329"/>
      <c r="I122" s="3330"/>
      <c r="AA122" s="684"/>
    </row>
    <row r="123" spans="1:27" ht="18.75" customHeight="1">
      <c r="A123" s="3264" t="s">
        <v>1452</v>
      </c>
      <c r="B123" s="3264"/>
      <c r="C123" s="3264"/>
      <c r="D123" s="3304" t="e">
        <f ca="1">NUMBERSTRING(INT(D122*10000),2)&amp;"元整"</f>
        <v>#REF!</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4847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26175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2920</v>
      </c>
      <c r="D5" s="203" t="s">
        <v>1469</v>
      </c>
      <c r="E5" s="204" t="s">
        <v>1470</v>
      </c>
      <c r="F5" s="204" t="s">
        <v>1471</v>
      </c>
      <c r="G5" s="205"/>
    </row>
    <row r="6" spans="1:9" s="206" customFormat="1" ht="13.5" customHeight="1">
      <c r="A6" s="732" t="s">
        <v>1472</v>
      </c>
      <c r="B6" s="207" t="s">
        <v>1473</v>
      </c>
      <c r="C6" s="208">
        <f>基准地价修正!B2</f>
        <v>2798</v>
      </c>
      <c r="D6" s="209"/>
      <c r="E6" s="210"/>
      <c r="F6" s="210"/>
      <c r="G6" s="211"/>
    </row>
    <row r="7" spans="1:9" s="206" customFormat="1" ht="13.5" customHeight="1">
      <c r="A7" s="732" t="s">
        <v>1474</v>
      </c>
      <c r="B7" s="207" t="s">
        <v>1475</v>
      </c>
      <c r="C7" s="212">
        <f>ROUND(C6*F7,0)</f>
        <v>85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v>
      </c>
      <c r="D8" s="214"/>
      <c r="E8" s="212"/>
      <c r="F8" s="213"/>
      <c r="G8" s="1714"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3411</v>
      </c>
      <c r="H9" s="1070"/>
      <c r="I9" s="1716" t="s">
        <v>1479</v>
      </c>
    </row>
    <row r="10" spans="1:9" s="206" customFormat="1" ht="13.5" customHeight="1">
      <c r="A10" s="733" t="s">
        <v>356</v>
      </c>
      <c r="B10" s="216" t="s">
        <v>1480</v>
      </c>
      <c r="C10" s="217">
        <f ca="1">ROUND(D10*E10/10000,0)</f>
        <v>37</v>
      </c>
      <c r="D10" s="795">
        <f ca="1">IF(B1="",'数据-汇总表'!E6,IF(INDIRECT("'数据-取费表'!c"&amp;$G$1)="住宅",INDIRECT("'数据-取费表'!s"&amp;$G$1),INDIRECT("'数据-取费表'!k"&amp;$G$1)+INDIRECT("'数据-取费表'!s"&amp;$G$1)))</f>
        <v>1851.78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1851.78</v>
      </c>
      <c r="E19" s="203">
        <f>'数据-取费表'!B31</f>
        <v>200</v>
      </c>
      <c r="F19" s="223"/>
      <c r="G19" s="1714" t="s">
        <v>3412</v>
      </c>
    </row>
    <row r="20" spans="1:7" s="206" customFormat="1" ht="13.5" customHeight="1">
      <c r="A20" s="247" t="s">
        <v>1493</v>
      </c>
      <c r="B20" s="202" t="s">
        <v>1494</v>
      </c>
      <c r="C20" s="224">
        <f ca="1">ROUND((C5+C19)*F20,0)</f>
        <v>58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186</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184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596</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596</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4078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741</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v>
      </c>
      <c r="D37" s="209">
        <f ca="1">D19</f>
        <v>1851.78</v>
      </c>
      <c r="E37" s="241">
        <f>'数据-取费表'!B35</f>
        <v>200</v>
      </c>
      <c r="F37" s="251"/>
      <c r="G37" s="253" t="s">
        <v>1532</v>
      </c>
    </row>
    <row r="38" spans="1:7" ht="13.5" customHeight="1">
      <c r="A38" s="734" t="s">
        <v>354</v>
      </c>
      <c r="B38" s="207" t="s">
        <v>1533</v>
      </c>
      <c r="C38" s="212">
        <f ca="1">ROUND(C34*F38,0)</f>
        <v>15</v>
      </c>
      <c r="D38" s="212"/>
      <c r="E38" s="212"/>
      <c r="F38" s="251">
        <f>'数据-取费表'!B36</f>
        <v>0.02</v>
      </c>
      <c r="G38" s="211" t="s">
        <v>1528</v>
      </c>
    </row>
    <row r="39" spans="1:7" s="206" customFormat="1" ht="13.5" customHeight="1">
      <c r="A39" s="247" t="s">
        <v>1534</v>
      </c>
      <c r="B39" s="202" t="s">
        <v>1535</v>
      </c>
      <c r="C39" s="224">
        <f ca="1">ROUND(C33*F20,0)</f>
        <v>17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26</v>
      </c>
      <c r="D42" s="230"/>
      <c r="E42" s="230"/>
      <c r="F42" s="231"/>
      <c r="G42" s="3344" t="s">
        <v>1544</v>
      </c>
    </row>
    <row r="43" spans="1:7" ht="13.5" customHeight="1">
      <c r="A43" s="734" t="s">
        <v>347</v>
      </c>
      <c r="B43" s="207" t="s">
        <v>1545</v>
      </c>
      <c r="C43" s="230">
        <f ca="1">ROUND(IF('数据-取费表'!B22&lt;=1,C39*F22*'数据-取费表'!B21/2,C39*(POWER((1+F22),'数据-取费表'!B21/2)-1)),0)</f>
        <v>1</v>
      </c>
      <c r="D43" s="230"/>
      <c r="E43" s="230"/>
      <c r="F43" s="231"/>
      <c r="G43" s="3345"/>
    </row>
    <row r="44" spans="1:7" ht="13.5" customHeight="1">
      <c r="A44" s="734" t="s">
        <v>348</v>
      </c>
      <c r="B44" s="207" t="s">
        <v>1546</v>
      </c>
      <c r="C44" s="230">
        <f ca="1">ROUND(IF('数据-取费表'!B22&lt;=1,C40*F22*'数据-取费表'!B21/2,C40*(POWER((1+F22),'数据-取费表'!B21/2)-1)),4)</f>
        <v>5.9999999999999995E-4</v>
      </c>
      <c r="D44" s="230"/>
      <c r="E44" s="230"/>
      <c r="F44" s="231"/>
      <c r="G44" s="3346"/>
    </row>
    <row r="45" spans="1:7" s="206" customFormat="1" ht="13.5" customHeight="1">
      <c r="A45" s="247" t="s">
        <v>1547</v>
      </c>
      <c r="B45" s="236" t="s">
        <v>1513</v>
      </c>
      <c r="C45" s="237">
        <f ca="1">C46</f>
        <v>169</v>
      </c>
      <c r="D45" s="227">
        <f ca="1">C47</f>
        <v>4.0000000000000001E-3</v>
      </c>
      <c r="E45" s="228" t="s">
        <v>1539</v>
      </c>
      <c r="F45" s="238">
        <f ca="1">F27</f>
        <v>0.2</v>
      </c>
      <c r="G45" s="239" t="s">
        <v>1548</v>
      </c>
    </row>
    <row r="46" spans="1:7" s="206" customFormat="1" ht="13.5" customHeight="1">
      <c r="A46" s="734" t="s">
        <v>346</v>
      </c>
      <c r="B46" s="240" t="s">
        <v>1549</v>
      </c>
      <c r="C46" s="241">
        <f ca="1">ROUND((C33+C39)*F27,0)</f>
        <v>169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1131</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769</v>
      </c>
      <c r="D51" s="224"/>
      <c r="E51" s="224"/>
      <c r="F51" s="256"/>
      <c r="G51" s="226" t="s">
        <v>1560</v>
      </c>
    </row>
    <row r="52" spans="1:7" s="200" customFormat="1" ht="16.5" thickBot="1">
      <c r="A52" s="257" t="s">
        <v>1561</v>
      </c>
      <c r="B52" s="258"/>
      <c r="C52" s="259">
        <f ca="1">C31+C51</f>
        <v>4847</v>
      </c>
      <c r="D52" s="258"/>
      <c r="E52" s="258"/>
      <c r="F52" s="258"/>
      <c r="G52" s="260"/>
    </row>
    <row r="55" spans="1:7" ht="15">
      <c r="B55" s="262" t="s">
        <v>1562</v>
      </c>
      <c r="C55" s="263"/>
    </row>
    <row r="56" spans="1:7">
      <c r="B56" s="265" t="s">
        <v>802</v>
      </c>
      <c r="C56" s="267">
        <f ca="1">1-C57</f>
        <v>0.84099999999999997</v>
      </c>
    </row>
    <row r="57" spans="1:7">
      <c r="B57" s="265" t="s">
        <v>803</v>
      </c>
      <c r="C57" s="266">
        <f ca="1">ROUND(C51/C52,3)</f>
        <v>0.159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871.59829999999999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4707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370356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370356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370356</v>
      </c>
      <c r="D10" s="795">
        <f ca="1">IF(B1="",'数据-汇总表'!E6,IF(INDIRECT("'数据-取费表'!c"&amp;$G$1)="住宅",INDIRECT("'数据-取费表'!s"&amp;$G$1),INDIRECT("'数据-取费表'!k"&amp;$G$1)+INDIRECT("'数据-取费表'!s"&amp;$G$1)))</f>
        <v>1851.78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370356</v>
      </c>
      <c r="D19" s="204">
        <f ca="1">D9+D10</f>
        <v>1851.78</v>
      </c>
      <c r="E19" s="203">
        <f>'数据-取费表'!B31</f>
        <v>200</v>
      </c>
      <c r="F19" s="223"/>
      <c r="G19" s="1714"/>
    </row>
    <row r="20" spans="1:7" s="206" customFormat="1" ht="13.5" customHeight="1">
      <c r="A20" s="247" t="s">
        <v>1574</v>
      </c>
      <c r="B20" s="202" t="s">
        <v>1575</v>
      </c>
      <c r="C20" s="224">
        <f ca="1">ROUND((C5+C19)*F20,0)</f>
        <v>14814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47095</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23318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23318</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151105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151105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1034298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8295974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7407120</v>
      </c>
      <c r="D34" s="209"/>
      <c r="E34" s="212"/>
      <c r="F34" s="249"/>
      <c r="G34" s="211"/>
    </row>
    <row r="35" spans="1:7" ht="13.5" customHeight="1">
      <c r="A35" s="734" t="s">
        <v>351</v>
      </c>
      <c r="B35" s="207" t="s">
        <v>1527</v>
      </c>
      <c r="C35" s="212">
        <f ca="1">ROUND(C34*F35,0)</f>
        <v>370356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370356</v>
      </c>
      <c r="D37" s="209">
        <f ca="1">D19</f>
        <v>1851.78</v>
      </c>
      <c r="E37" s="241">
        <f>'数据-取费表'!B35</f>
        <v>200</v>
      </c>
      <c r="F37" s="251"/>
      <c r="G37" s="253"/>
    </row>
    <row r="38" spans="1:7" ht="13.5" customHeight="1">
      <c r="A38" s="734" t="s">
        <v>354</v>
      </c>
      <c r="B38" s="207" t="s">
        <v>1533</v>
      </c>
      <c r="C38" s="212">
        <f ca="1">ROUND(C34*F38,0)</f>
        <v>148142</v>
      </c>
      <c r="D38" s="212"/>
      <c r="E38" s="212"/>
      <c r="F38" s="251">
        <f>'数据-取费表'!B36</f>
        <v>0.02</v>
      </c>
      <c r="G38" s="211" t="s">
        <v>1528</v>
      </c>
    </row>
    <row r="39" spans="1:7" s="206" customFormat="1" ht="13.5" customHeight="1">
      <c r="A39" s="247" t="s">
        <v>1534</v>
      </c>
      <c r="B39" s="202" t="s">
        <v>1535</v>
      </c>
      <c r="C39" s="224">
        <f ca="1">ROUND(C33*F20,0)</f>
        <v>165919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262318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257175</v>
      </c>
      <c r="D42" s="230"/>
      <c r="E42" s="230"/>
      <c r="F42" s="231"/>
      <c r="G42" s="3344" t="s">
        <v>1591</v>
      </c>
    </row>
    <row r="43" spans="1:7" ht="13.5" customHeight="1">
      <c r="A43" s="734" t="s">
        <v>347</v>
      </c>
      <c r="B43" s="207" t="s">
        <v>1545</v>
      </c>
      <c r="C43" s="230">
        <f ca="1">ROUND(IF('数据-取费表'!B22&lt;=1,C39*F22*'数据-取费表'!B20/2,C39*(POWER((1+F22),'数据-取费表'!B20/2)-1)),0)</f>
        <v>5143</v>
      </c>
      <c r="D43" s="230"/>
      <c r="E43" s="230"/>
      <c r="F43" s="231"/>
      <c r="G43" s="3345"/>
    </row>
    <row r="44" spans="1:7" ht="13.5" customHeight="1">
      <c r="A44" s="734" t="s">
        <v>348</v>
      </c>
      <c r="B44" s="207" t="s">
        <v>1546</v>
      </c>
      <c r="C44" s="230">
        <f ca="1">ROUND(IF('数据-取费表'!B22&lt;=1,C40*F22*'数据-取费表'!B20/2,C40*(POWER((1+F22),'数据-取费表'!B20/2)-1)),4)</f>
        <v>5.9999999999999995E-4</v>
      </c>
      <c r="D44" s="230"/>
      <c r="E44" s="230"/>
      <c r="F44" s="231"/>
      <c r="G44" s="3346"/>
    </row>
    <row r="45" spans="1:7" s="206" customFormat="1" ht="13.5" customHeight="1">
      <c r="A45" s="247" t="s">
        <v>1547</v>
      </c>
      <c r="B45" s="236" t="s">
        <v>1513</v>
      </c>
      <c r="C45" s="237">
        <f ca="1">C46</f>
        <v>1692379</v>
      </c>
      <c r="D45" s="227">
        <f ca="1">C47</f>
        <v>4.0000000000000001E-3</v>
      </c>
      <c r="E45" s="228" t="s">
        <v>1539</v>
      </c>
      <c r="F45" s="238">
        <f ca="1">F27</f>
        <v>0.2</v>
      </c>
      <c r="G45" s="239" t="s">
        <v>1548</v>
      </c>
    </row>
    <row r="46" spans="1:7" s="206" customFormat="1" ht="13.5" customHeight="1">
      <c r="A46" s="734" t="s">
        <v>346</v>
      </c>
      <c r="B46" s="240" t="s">
        <v>1549</v>
      </c>
      <c r="C46" s="241">
        <f ca="1">ROUND((C33+C39)*F27,0)</f>
        <v>1692379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11296595</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7681685</v>
      </c>
      <c r="D51" s="224"/>
      <c r="E51" s="224"/>
      <c r="F51" s="256"/>
      <c r="G51" s="226" t="s">
        <v>1560</v>
      </c>
    </row>
    <row r="52" spans="1:7" s="200" customFormat="1" ht="16.5" thickBot="1">
      <c r="A52" s="257" t="s">
        <v>1561</v>
      </c>
      <c r="B52" s="258"/>
      <c r="C52" s="259">
        <f ca="1">C31+C51</f>
        <v>8715983</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1851.78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1851.78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v>
      </c>
      <c r="D20" s="796">
        <f ca="1">IF(C1="",'数据-汇总表'!E6,IF(INDIRECT("'数据-取费表'!c"&amp;$K$1)="住宅",INDIRECT("'数据-取费表'!s"&amp;$K$1),INDIRECT("'数据-取费表'!k"&amp;$K$1)+INDIRECT("'数据-取费表'!s"&amp;$K$1)))</f>
        <v>1851.78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50" sqref="E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1851.78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2798</v>
      </c>
      <c r="C2" s="1846" t="s">
        <v>1935</v>
      </c>
      <c r="D2" s="162" t="s">
        <v>1936</v>
      </c>
      <c r="E2" s="3121"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15110</v>
      </c>
      <c r="U2" s="1130">
        <f>'数据-基础表'!I13</f>
        <v>1851.78</v>
      </c>
      <c r="V2" s="3064">
        <f>ROUND(T2*U2/10000,0)</f>
        <v>2798</v>
      </c>
      <c r="W2" s="1133"/>
      <c r="X2" s="1133"/>
      <c r="Y2" s="1133"/>
      <c r="Z2" s="1133"/>
      <c r="AA2" s="1133"/>
      <c r="AB2" s="1133"/>
      <c r="AC2" s="1134"/>
      <c r="AD2" s="1135"/>
      <c r="AE2" s="1135"/>
      <c r="AF2" s="1135"/>
      <c r="AG2" s="1135"/>
      <c r="AH2" s="1135"/>
      <c r="AI2" s="1135"/>
      <c r="AJ2" s="1136"/>
    </row>
    <row r="3" spans="1:36" ht="15.75">
      <c r="A3" s="195" t="s">
        <v>1940</v>
      </c>
      <c r="B3" s="196">
        <f>ROUND(B2*10000/D1,0)</f>
        <v>15110</v>
      </c>
      <c r="C3" s="1846" t="s">
        <v>1941</v>
      </c>
      <c r="D3" s="162" t="s">
        <v>1942</v>
      </c>
      <c r="E3" s="3119" t="s">
        <v>2440</v>
      </c>
      <c r="F3" s="1848" t="s">
        <v>3403</v>
      </c>
      <c r="G3" s="708">
        <f>IF(F3="宗地容积率",'数据-汇总表'!I4,IF(F3="估价对象容积率",'数据-汇总表'!I6,'数据-汇总表'!I7))</f>
        <v>2.5</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11910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16370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10066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16370</v>
      </c>
      <c r="D5" s="1252">
        <f>ROUND(C6*C17+C20,0)</f>
        <v>16370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8877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8531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2.5</v>
      </c>
      <c r="AA7" s="1133"/>
      <c r="AB7" s="1133"/>
      <c r="AC7" s="1134"/>
      <c r="AD7" s="1135"/>
      <c r="AE7" s="1135"/>
      <c r="AF7" s="1135"/>
      <c r="AG7" s="1135"/>
      <c r="AH7" s="1135"/>
      <c r="AI7" s="1135"/>
      <c r="AJ7" s="1136"/>
    </row>
    <row r="8" spans="1:36" ht="25.5">
      <c r="A8" s="3010"/>
      <c r="B8" s="162" t="s">
        <v>1957</v>
      </c>
      <c r="C8" s="1870" t="s">
        <v>3404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0</v>
      </c>
      <c r="D20" s="3047" t="s">
        <v>1998</v>
      </c>
      <c r="E20" s="3048"/>
      <c r="F20" s="3364" t="s">
        <v>1995</v>
      </c>
      <c r="G20" s="33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0.72340000000000004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19</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3406</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1.0213000000000001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2798</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15110</v>
      </c>
      <c r="D33" s="1940">
        <f>'数据-基础表'!I13</f>
        <v>1851.78</v>
      </c>
      <c r="E33" s="727">
        <f>ROUND(C33*D33/10000,0)</f>
        <v>2798</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6036</v>
      </c>
      <c r="D37" s="1940"/>
      <c r="E37" s="163">
        <f>ROUND(C37*D37/10000,0)</f>
        <v>0</v>
      </c>
      <c r="F37" s="163">
        <f>SUMIF(修正!A57:A68,G2,修正!B57:B68)</f>
        <v>0.6</v>
      </c>
      <c r="G37" s="163">
        <f>ROUND(IF(E2="工业",C37*$M$42,C37*$M$41),0)</f>
        <v>1509</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3018</v>
      </c>
      <c r="D38" s="1940"/>
      <c r="E38" s="163">
        <f t="shared" ref="E38:E42" si="4">ROUND(C38*D38/10000,0)</f>
        <v>0</v>
      </c>
      <c r="F38" s="163">
        <f>SUMIF(修正!A57:A68,G2,修正!C57:C68)</f>
        <v>0.3</v>
      </c>
      <c r="G38" s="163">
        <f>ROUND(IF(E2="工业",C38*$M$42,C38*$M$41),0)</f>
        <v>755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3250</v>
      </c>
      <c r="C39" s="167">
        <f>ROUND(D5*C22*C23*C24*C28*F39,0)</f>
        <v>2515</v>
      </c>
      <c r="D39" s="1940"/>
      <c r="E39" s="163">
        <f t="shared" si="4"/>
        <v>0</v>
      </c>
      <c r="F39" s="163">
        <f>SUMIF(修正!A57:A68,G2,修正!D57:D68)</f>
        <v>0.25</v>
      </c>
      <c r="G39" s="163">
        <f>ROUND(IF(E2="工业",C39*$M$42,C39*$M$41),0)</f>
        <v>629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2515</v>
      </c>
      <c r="D40" s="1940"/>
      <c r="E40" s="163">
        <f t="shared" si="4"/>
        <v>0</v>
      </c>
      <c r="F40" s="167">
        <f>SUMIF(修正!A57:A68,G2,修正!E57:E68)</f>
        <v>0.25</v>
      </c>
      <c r="G40" s="163">
        <f>ROUND(IF(E2="工业",C40*$M$42,C40*$M$41),0)</f>
        <v>629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1.0213000000000001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3407</v>
      </c>
      <c r="D50" s="1002">
        <f t="shared" ref="D50:D58" si="7">SUMIF($J$49:$N$49,C50,J50:N50)</f>
        <v>0</v>
      </c>
      <c r="E50" s="702">
        <f>ROUND(SUM(D50:D58),4)</f>
        <v>2.1299999999999999E-2</v>
      </c>
      <c r="F50" s="1675">
        <f>IF(E2="商业",SUMIF(L1:L12,G2,N1:N12),"——")</f>
        <v>9.8000000000000004E-2</v>
      </c>
      <c r="G50" s="1000">
        <f>H50</f>
        <v>1.47E-2</v>
      </c>
      <c r="H50" s="1003">
        <f t="shared" ref="H50:H58" si="8">IFERROR(ROUNDDOWN($F$50*I50/2,4),"——")</f>
        <v>1.47E-2</v>
      </c>
      <c r="I50" s="3069">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3408</v>
      </c>
      <c r="D51" s="1002">
        <f t="shared" si="7"/>
        <v>1.0699999999999999E-2</v>
      </c>
      <c r="E51" s="703"/>
      <c r="F51" s="1675"/>
      <c r="G51" s="1000">
        <f t="shared" ref="G51:G58" si="12">H51</f>
        <v>1.0699999999999999E-2</v>
      </c>
      <c r="H51" s="1003">
        <f t="shared" si="8"/>
        <v>1.0699999999999999E-2</v>
      </c>
      <c r="I51" s="3069">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3408</v>
      </c>
      <c r="D52" s="1002">
        <f t="shared" si="7"/>
        <v>5.7999999999999996E-3</v>
      </c>
      <c r="E52" s="703"/>
      <c r="F52" s="1675"/>
      <c r="G52" s="1000">
        <f t="shared" si="12"/>
        <v>5.7999999999999996E-3</v>
      </c>
      <c r="H52" s="1003">
        <f t="shared" si="8"/>
        <v>5.7999999999999996E-3</v>
      </c>
      <c r="I52" s="3069">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3408</v>
      </c>
      <c r="D53" s="1002">
        <f t="shared" si="7"/>
        <v>2.3999999999999998E-3</v>
      </c>
      <c r="E53" s="703"/>
      <c r="F53" s="1675"/>
      <c r="G53" s="1000">
        <f t="shared" si="12"/>
        <v>2.3999999999999998E-3</v>
      </c>
      <c r="H53" s="1003">
        <f t="shared" si="8"/>
        <v>2.3999999999999998E-3</v>
      </c>
      <c r="I53" s="3069">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3409</v>
      </c>
      <c r="D54" s="1002">
        <f t="shared" si="7"/>
        <v>-3.8999999999999998E-3</v>
      </c>
      <c r="E54" s="703"/>
      <c r="F54" s="1675"/>
      <c r="G54" s="1000">
        <f t="shared" si="12"/>
        <v>3.8999999999999998E-3</v>
      </c>
      <c r="H54" s="1003">
        <f t="shared" si="8"/>
        <v>3.8999999999999998E-3</v>
      </c>
      <c r="I54" s="3069">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3408</v>
      </c>
      <c r="D55" s="1002">
        <f t="shared" si="7"/>
        <v>2.3999999999999998E-3</v>
      </c>
      <c r="E55" s="703"/>
      <c r="F55" s="1675"/>
      <c r="G55" s="1000">
        <f t="shared" si="12"/>
        <v>2.3999999999999998E-3</v>
      </c>
      <c r="H55" s="1003">
        <f t="shared" si="8"/>
        <v>2.3999999999999998E-3</v>
      </c>
      <c r="I55" s="3069">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3407</v>
      </c>
      <c r="D56" s="1002">
        <f t="shared" si="7"/>
        <v>0</v>
      </c>
      <c r="E56" s="703"/>
      <c r="F56" s="1675"/>
      <c r="G56" s="1000">
        <f t="shared" si="12"/>
        <v>2.3999999999999998E-3</v>
      </c>
      <c r="H56" s="1003">
        <f t="shared" si="8"/>
        <v>2.3999999999999998E-3</v>
      </c>
      <c r="I56" s="3069">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3408</v>
      </c>
      <c r="D57" s="1002">
        <f t="shared" si="7"/>
        <v>3.8999999999999998E-3</v>
      </c>
      <c r="E57" s="703"/>
      <c r="F57" s="1675"/>
      <c r="G57" s="1000">
        <f t="shared" si="12"/>
        <v>3.8999999999999998E-3</v>
      </c>
      <c r="H57" s="1003">
        <f t="shared" si="8"/>
        <v>3.8999999999999998E-3</v>
      </c>
      <c r="I57" s="3069">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3407</v>
      </c>
      <c r="D58" s="1002">
        <f t="shared" si="7"/>
        <v>0</v>
      </c>
      <c r="E58" s="704"/>
      <c r="F58" s="1675"/>
      <c r="G58" s="1000">
        <f t="shared" si="12"/>
        <v>2.3999999999999998E-3</v>
      </c>
      <c r="H58" s="1003">
        <f t="shared" si="8"/>
        <v>2.3999999999999998E-3</v>
      </c>
      <c r="I58" s="3070">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3285</v>
      </c>
      <c r="B103" s="3360"/>
      <c r="C103" s="3360"/>
      <c r="D103" s="3360"/>
      <c r="E103" s="3360"/>
      <c r="F103" s="3360"/>
      <c r="G103" s="3360"/>
      <c r="H103" s="3360"/>
      <c r="I103" s="3360"/>
      <c r="J103" s="3360"/>
      <c r="K103" s="1667"/>
      <c r="L103" s="1667"/>
      <c r="M103" s="1667"/>
      <c r="N103" s="1667"/>
    </row>
    <row r="104" spans="1:14">
      <c r="A104" s="3361" t="s">
        <v>3286</v>
      </c>
      <c r="B104" s="3361" t="s">
        <v>3287</v>
      </c>
      <c r="C104" s="3091" t="s">
        <v>3288</v>
      </c>
      <c r="D104" s="3092"/>
      <c r="E104" s="3092"/>
      <c r="F104" s="3092"/>
      <c r="G104" s="3092"/>
      <c r="H104" s="3092"/>
      <c r="I104" s="3092"/>
      <c r="J104" s="3093"/>
      <c r="K104" s="3094"/>
      <c r="L104" s="3094"/>
      <c r="M104" s="3094"/>
      <c r="N104" s="3094"/>
    </row>
    <row r="105" spans="1:14">
      <c r="A105" s="3361"/>
      <c r="B105" s="3361"/>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7"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9"/>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0" t="s">
        <v>3302</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2.5</v>
      </c>
      <c r="C116" s="3100" t="s">
        <v>3304</v>
      </c>
      <c r="D116" s="3101">
        <f>SUMPRODUCT((A118:A122=F116)*(B117:M117=H116)*B118:M122)</f>
        <v>0.91400000000000003</v>
      </c>
      <c r="E116" s="162" t="s">
        <v>3305</v>
      </c>
      <c r="F116" s="3102" t="str">
        <f>E2</f>
        <v>商业</v>
      </c>
      <c r="G116" s="162" t="s">
        <v>3306</v>
      </c>
      <c r="H116" s="3102" t="str">
        <f>G2</f>
        <v>四级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3320</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3321</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3322</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2603</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5" zoomScaleNormal="70" zoomScaleSheetLayoutView="85" workbookViewId="0">
      <selection activeCell="H11" sqref="H1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3429</v>
      </c>
      <c r="F1" s="1735" t="s">
        <v>3417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8907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48098</v>
      </c>
      <c r="C3" s="344" t="s">
        <v>1768</v>
      </c>
      <c r="D3" s="343">
        <f>IF(D1="",'数据-汇总表'!E3,SUMIF('数据-汇总表'!$C19:$C33,D1,'数据-汇总表'!$E19:$E33))</f>
        <v>1851.78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388" t="s">
        <v>1775</v>
      </c>
      <c r="Q4" s="3389"/>
      <c r="R4" s="3394" t="s">
        <v>1771</v>
      </c>
      <c r="S4" s="3395"/>
      <c r="T4" s="3394" t="s">
        <v>1772</v>
      </c>
      <c r="U4" s="3395"/>
      <c r="V4" s="3367" t="s">
        <v>1773</v>
      </c>
      <c r="W4" s="3367"/>
      <c r="X4" s="1265"/>
      <c r="Y4" s="3394" t="s">
        <v>1775</v>
      </c>
      <c r="Z4" s="3395"/>
      <c r="AA4" s="3381" t="s">
        <v>1771</v>
      </c>
      <c r="AB4" s="3367" t="s">
        <v>1772</v>
      </c>
      <c r="AC4" s="3381" t="s">
        <v>1773</v>
      </c>
    </row>
    <row r="5" spans="1:29" ht="15.75" thickBot="1">
      <c r="A5" s="348"/>
      <c r="B5" s="349"/>
      <c r="C5" s="3407" t="s">
        <v>1673</v>
      </c>
      <c r="D5" s="3403"/>
      <c r="E5" s="3410" t="s">
        <v>3418</v>
      </c>
      <c r="F5" s="3411"/>
      <c r="G5" s="3402" t="s">
        <v>3425</v>
      </c>
      <c r="H5" s="3403"/>
      <c r="I5" s="3402" t="s">
        <v>3424</v>
      </c>
      <c r="J5" s="3403"/>
      <c r="K5" s="537"/>
      <c r="L5" s="2487"/>
      <c r="M5" s="2488"/>
      <c r="N5" s="2488"/>
      <c r="O5" s="2488"/>
      <c r="P5" s="3390"/>
      <c r="Q5" s="3391"/>
      <c r="R5" s="3396"/>
      <c r="S5" s="3397"/>
      <c r="T5" s="3396"/>
      <c r="U5" s="3397"/>
      <c r="V5" s="3367"/>
      <c r="W5" s="3367"/>
      <c r="X5" s="1265"/>
      <c r="Y5" s="3396"/>
      <c r="Z5" s="3397"/>
      <c r="AA5" s="3382"/>
      <c r="AB5" s="3367"/>
      <c r="AC5" s="3382"/>
    </row>
    <row r="6" spans="1:29" ht="15.75" hidden="1" thickBot="1">
      <c r="A6" s="350"/>
      <c r="B6" s="351"/>
      <c r="C6" s="3400" t="s">
        <v>1677</v>
      </c>
      <c r="D6" s="3401"/>
      <c r="E6" s="3408" t="s">
        <v>1677</v>
      </c>
      <c r="F6" s="3409"/>
      <c r="G6" s="3400" t="s">
        <v>1677</v>
      </c>
      <c r="H6" s="3401"/>
      <c r="I6" s="3400" t="s">
        <v>1677</v>
      </c>
      <c r="J6" s="3401"/>
      <c r="K6" s="537" t="s">
        <v>1678</v>
      </c>
      <c r="L6" s="2487"/>
      <c r="M6" s="2488"/>
      <c r="N6" s="2488"/>
      <c r="O6" s="2488"/>
      <c r="P6" s="3392"/>
      <c r="Q6" s="3393"/>
      <c r="R6" s="3396"/>
      <c r="S6" s="3397"/>
      <c r="T6" s="3398"/>
      <c r="U6" s="3399"/>
      <c r="V6" s="3367"/>
      <c r="W6" s="3367"/>
      <c r="X6" s="1265"/>
      <c r="Y6" s="3398"/>
      <c r="Z6" s="3399"/>
      <c r="AA6" s="3383"/>
      <c r="AB6" s="3367"/>
      <c r="AC6" s="3383"/>
    </row>
    <row r="7" spans="1:29" s="102" customFormat="1" ht="15.75" thickBot="1">
      <c r="A7" s="352" t="s">
        <v>1679</v>
      </c>
      <c r="B7" s="353"/>
      <c r="C7" s="354">
        <f>'数据-取费表'!B2</f>
        <v>45708</v>
      </c>
      <c r="D7" s="355">
        <v>100</v>
      </c>
      <c r="E7" s="356">
        <f>C7</f>
        <v>45708</v>
      </c>
      <c r="F7" s="357">
        <f>SUMIF(58:58,YEAR(E7)&amp;"-"&amp;MONTH(E7),59:59)</f>
        <v>100</v>
      </c>
      <c r="G7" s="356">
        <f>E7</f>
        <v>45708</v>
      </c>
      <c r="H7" s="355">
        <f>SUMIF(58:58,YEAR(G7)&amp;"-"&amp;MONTH(G7),59:59)</f>
        <v>100</v>
      </c>
      <c r="I7" s="356">
        <f>G7</f>
        <v>45708</v>
      </c>
      <c r="J7" s="355">
        <f>SUMIF(58:58,YEAR(I7)&amp;"-"&amp;MONTH(I7),59:59)</f>
        <v>100</v>
      </c>
      <c r="K7" s="38"/>
      <c r="L7" s="2489"/>
      <c r="M7" s="2440"/>
      <c r="N7" s="2440"/>
      <c r="O7" s="2440"/>
      <c r="P7" s="3404" t="s">
        <v>1680</v>
      </c>
      <c r="Q7" s="3406"/>
      <c r="R7" s="664" t="s">
        <v>14</v>
      </c>
      <c r="S7" s="665">
        <f t="shared" ref="S7:S15" si="0">F7</f>
        <v>100</v>
      </c>
      <c r="T7" s="664" t="s">
        <v>14</v>
      </c>
      <c r="U7" s="665">
        <f t="shared" ref="U7:U15" si="1">H7</f>
        <v>100</v>
      </c>
      <c r="V7" s="664" t="s">
        <v>14</v>
      </c>
      <c r="W7" s="665">
        <f t="shared" ref="W7:W15" si="2">J7</f>
        <v>100</v>
      </c>
      <c r="X7" s="666"/>
      <c r="Y7" s="3404" t="s">
        <v>1680</v>
      </c>
      <c r="Z7" s="3405"/>
      <c r="AA7" s="50">
        <f>D7/F7</f>
        <v>1</v>
      </c>
      <c r="AB7" s="50">
        <f>D7/H7</f>
        <v>1</v>
      </c>
      <c r="AC7" s="50">
        <f>D7/J7</f>
        <v>1</v>
      </c>
    </row>
    <row r="8" spans="1:29" s="102" customFormat="1" ht="15.75" thickBot="1">
      <c r="A8" s="352" t="s">
        <v>1681</v>
      </c>
      <c r="B8" s="353"/>
      <c r="C8" s="358" t="s">
        <v>3419</v>
      </c>
      <c r="D8" s="355">
        <v>100</v>
      </c>
      <c r="E8" s="3159" t="s">
        <v>3422</v>
      </c>
      <c r="F8" s="357">
        <f>SUMIF(61:61,E8,62:62)-SUMIF(61:61,C8,62:62)+100</f>
        <v>102</v>
      </c>
      <c r="G8" s="358" t="s">
        <v>3421</v>
      </c>
      <c r="H8" s="355">
        <f>SUMIF(61:61,G8,62:62)-SUMIF(61:61,C8,62:62)+100</f>
        <v>102</v>
      </c>
      <c r="I8" s="358" t="s">
        <v>3421</v>
      </c>
      <c r="J8" s="355">
        <f>SUMIF(61:61,I8,62:62)-SUMIF(61:61,C8,62:62)+100</f>
        <v>102</v>
      </c>
      <c r="K8" s="38"/>
      <c r="L8" s="2489"/>
      <c r="M8" s="2440"/>
      <c r="N8" s="2440"/>
      <c r="O8" s="2440"/>
      <c r="P8" s="3404" t="s">
        <v>1683</v>
      </c>
      <c r="Q8" s="3405"/>
      <c r="R8" s="664" t="s">
        <v>14</v>
      </c>
      <c r="S8" s="665">
        <f t="shared" si="0"/>
        <v>102</v>
      </c>
      <c r="T8" s="664" t="s">
        <v>14</v>
      </c>
      <c r="U8" s="665">
        <f t="shared" si="1"/>
        <v>102</v>
      </c>
      <c r="V8" s="664" t="s">
        <v>14</v>
      </c>
      <c r="W8" s="665">
        <f t="shared" si="2"/>
        <v>102</v>
      </c>
      <c r="X8" s="666"/>
      <c r="Y8" s="3404" t="s">
        <v>1683</v>
      </c>
      <c r="Z8" s="3405"/>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58" t="s">
        <v>3420</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61" t="s">
        <v>3426</v>
      </c>
      <c r="D10" s="119">
        <v>100</v>
      </c>
      <c r="E10" s="3134" t="s">
        <v>3427</v>
      </c>
      <c r="F10" s="364">
        <f>SUMIF(65:65,E10,66:66)-SUMIF(65:65,C10,66:66)+100</f>
        <v>102</v>
      </c>
      <c r="G10" s="3133" t="s">
        <v>3427</v>
      </c>
      <c r="H10" s="119">
        <f>SUMIF(65:65,G10,66:66)-SUMIF(65:65,C10,66:66)+100</f>
        <v>102</v>
      </c>
      <c r="I10" s="3161" t="s">
        <v>3426</v>
      </c>
      <c r="J10" s="119">
        <f>SUMIF(65:65,I10,66:66)-SUMIF(65:65,C10,66:66)+100</f>
        <v>100</v>
      </c>
      <c r="K10" s="38"/>
      <c r="L10" s="2490"/>
      <c r="M10" s="2491"/>
      <c r="N10" s="2491"/>
      <c r="O10" s="2491"/>
      <c r="P10" s="3380"/>
      <c r="Q10" s="530" t="str">
        <f t="shared" si="6"/>
        <v>土地使用年限（年）</v>
      </c>
      <c r="R10" s="664" t="s">
        <v>14</v>
      </c>
      <c r="S10" s="665">
        <f t="shared" si="0"/>
        <v>102</v>
      </c>
      <c r="T10" s="664" t="s">
        <v>14</v>
      </c>
      <c r="U10" s="665">
        <f t="shared" si="1"/>
        <v>102</v>
      </c>
      <c r="V10" s="664" t="s">
        <v>14</v>
      </c>
      <c r="W10" s="665">
        <f t="shared" si="2"/>
        <v>100</v>
      </c>
      <c r="X10" s="666"/>
      <c r="Y10" s="3251"/>
      <c r="Z10" s="50" t="str">
        <f t="shared" si="7"/>
        <v>土地使用年限（年）</v>
      </c>
      <c r="AA10" s="50">
        <f t="shared" si="3"/>
        <v>0.98039215686274506</v>
      </c>
      <c r="AB10" s="50">
        <f t="shared" si="4"/>
        <v>0.98039215686274506</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0"/>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100</v>
      </c>
      <c r="I15" s="381"/>
      <c r="J15" s="380">
        <f>SUMIF(76:76,I16,77:77)-SUMIF(76:76,C16,77:77)+100</f>
        <v>100</v>
      </c>
      <c r="K15" s="540">
        <v>3</v>
      </c>
      <c r="L15" s="2493"/>
      <c r="M15" s="2488"/>
      <c r="N15" s="2488"/>
      <c r="O15" s="2488"/>
      <c r="P15" s="3371" t="s">
        <v>1691</v>
      </c>
      <c r="Q15" s="1263" t="str">
        <f t="shared" si="6"/>
        <v>商业繁华度</v>
      </c>
      <c r="R15" s="667" t="s">
        <v>14</v>
      </c>
      <c r="S15" s="668">
        <f t="shared" si="0"/>
        <v>103</v>
      </c>
      <c r="T15" s="667" t="s">
        <v>14</v>
      </c>
      <c r="U15" s="668">
        <f t="shared" si="1"/>
        <v>100</v>
      </c>
      <c r="V15" s="667" t="s">
        <v>14</v>
      </c>
      <c r="W15" s="668">
        <f t="shared" si="2"/>
        <v>100</v>
      </c>
      <c r="X15" s="1265"/>
      <c r="Y15" s="3373" t="s">
        <v>1691</v>
      </c>
      <c r="Z15" s="1264" t="str">
        <f t="shared" si="7"/>
        <v>商业繁华度</v>
      </c>
      <c r="AA15" s="1264">
        <f t="shared" si="3"/>
        <v>0.970873786407767</v>
      </c>
      <c r="AB15" s="1264">
        <f t="shared" si="4"/>
        <v>1</v>
      </c>
      <c r="AC15" s="1264">
        <f t="shared" si="5"/>
        <v>1</v>
      </c>
    </row>
    <row r="16" spans="1:29" ht="15">
      <c r="A16" s="367"/>
      <c r="B16" s="385"/>
      <c r="C16" s="386" t="s">
        <v>3407</v>
      </c>
      <c r="D16" s="387"/>
      <c r="E16" s="386" t="s">
        <v>3408</v>
      </c>
      <c r="F16" s="388"/>
      <c r="G16" s="386" t="s">
        <v>3407</v>
      </c>
      <c r="H16" s="389"/>
      <c r="I16" s="386" t="s">
        <v>3407</v>
      </c>
      <c r="J16" s="387"/>
      <c r="K16" s="541"/>
      <c r="L16" s="2493"/>
      <c r="M16" s="2488"/>
      <c r="N16" s="2488"/>
      <c r="O16" s="2488"/>
      <c r="P16" s="3372"/>
      <c r="Q16" s="1263"/>
      <c r="R16" s="667"/>
      <c r="S16" s="668"/>
      <c r="T16" s="667"/>
      <c r="U16" s="668"/>
      <c r="V16" s="667"/>
      <c r="W16" s="668"/>
      <c r="X16" s="1265"/>
      <c r="Y16" s="3374"/>
      <c r="Z16" s="1264"/>
      <c r="AA16" s="1264">
        <v>1</v>
      </c>
      <c r="AB16" s="1264">
        <v>1</v>
      </c>
      <c r="AC16" s="1264">
        <v>1</v>
      </c>
    </row>
    <row r="17" spans="1:29" ht="15">
      <c r="A17" s="367"/>
      <c r="B17" s="390" t="s">
        <v>1259</v>
      </c>
      <c r="C17" s="1754">
        <f>估价对象房地状况!C6</f>
        <v>0</v>
      </c>
      <c r="D17" s="389">
        <v>100</v>
      </c>
      <c r="E17" s="393"/>
      <c r="F17" s="392">
        <f>SUMIF(78:78,E18,79:79)-SUMIF(78:78,C18,79:79)+100</f>
        <v>100</v>
      </c>
      <c r="G17" s="393"/>
      <c r="H17" s="394">
        <f>SUMIF(78:78,G18,79:79)-SUMIF(78:78,C18,79:79)+100</f>
        <v>100</v>
      </c>
      <c r="I17" s="391"/>
      <c r="J17" s="394">
        <f>SUMIF(78:78,I18,79:79)-SUMIF(78:78,C18,79:79)+100</f>
        <v>100</v>
      </c>
      <c r="K17" s="540">
        <v>3</v>
      </c>
      <c r="L17" s="2493"/>
      <c r="M17" s="2488"/>
      <c r="N17" s="2488"/>
      <c r="O17" s="2488"/>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t="s">
        <v>3408</v>
      </c>
      <c r="D18" s="389"/>
      <c r="E18" s="1756" t="s">
        <v>3408</v>
      </c>
      <c r="F18" s="392"/>
      <c r="G18" s="1756" t="s">
        <v>3408</v>
      </c>
      <c r="H18" s="387"/>
      <c r="I18" s="1757" t="s">
        <v>3408</v>
      </c>
      <c r="J18" s="387"/>
      <c r="K18" s="541"/>
      <c r="L18" s="2493"/>
      <c r="M18" s="2488"/>
      <c r="N18" s="2488"/>
      <c r="O18" s="2488"/>
      <c r="P18" s="3372"/>
      <c r="Q18" s="1263"/>
      <c r="R18" s="667"/>
      <c r="S18" s="668"/>
      <c r="T18" s="667"/>
      <c r="U18" s="668"/>
      <c r="V18" s="667"/>
      <c r="W18" s="668"/>
      <c r="X18" s="1265"/>
      <c r="Y18" s="3374"/>
      <c r="Z18" s="1264"/>
      <c r="AA18" s="1264">
        <v>1</v>
      </c>
      <c r="AB18" s="1264">
        <v>1</v>
      </c>
      <c r="AC18" s="1264">
        <v>1</v>
      </c>
    </row>
    <row r="19" spans="1:29" ht="15">
      <c r="A19" s="367"/>
      <c r="B19" s="390" t="s">
        <v>1778</v>
      </c>
      <c r="C19" s="1754">
        <f>估价对象房地状况!C7</f>
        <v>0</v>
      </c>
      <c r="D19" s="394">
        <v>100</v>
      </c>
      <c r="E19" s="398"/>
      <c r="F19" s="397">
        <f>SUMIF(80:80,E20,81:81)-SUMIF(80:80,C20,81:81)+100</f>
        <v>103</v>
      </c>
      <c r="G19" s="398"/>
      <c r="H19" s="389">
        <f>SUMIF(80:80,G20,81:81)-SUMIF(80:80,C20,81:81)+100</f>
        <v>100</v>
      </c>
      <c r="I19" s="396"/>
      <c r="J19" s="389">
        <f>SUMIF(80:80,I20,81:81)-SUMIF(80:80,C20,81:81)+100</f>
        <v>103</v>
      </c>
      <c r="K19" s="540">
        <v>3</v>
      </c>
      <c r="L19" s="2493"/>
      <c r="M19" s="2488"/>
      <c r="N19" s="2488"/>
      <c r="O19" s="2488"/>
      <c r="P19" s="3372"/>
      <c r="Q19" s="1263" t="str">
        <f>B19</f>
        <v>公共配套设施</v>
      </c>
      <c r="R19" s="667" t="s">
        <v>14</v>
      </c>
      <c r="S19" s="668">
        <f>F19</f>
        <v>103</v>
      </c>
      <c r="T19" s="667" t="s">
        <v>14</v>
      </c>
      <c r="U19" s="668">
        <f>H19</f>
        <v>100</v>
      </c>
      <c r="V19" s="667" t="s">
        <v>14</v>
      </c>
      <c r="W19" s="668">
        <f>J19</f>
        <v>103</v>
      </c>
      <c r="X19" s="1265"/>
      <c r="Y19" s="3374"/>
      <c r="Z19" s="1264" t="str">
        <f>Q19</f>
        <v>公共配套设施</v>
      </c>
      <c r="AA19" s="1264">
        <f t="shared" si="3"/>
        <v>0.970873786407767</v>
      </c>
      <c r="AB19" s="1264">
        <f t="shared" si="4"/>
        <v>1</v>
      </c>
      <c r="AC19" s="1264">
        <f t="shared" si="5"/>
        <v>0.970873786407767</v>
      </c>
    </row>
    <row r="20" spans="1:29" ht="15">
      <c r="A20" s="367"/>
      <c r="B20" s="395"/>
      <c r="C20" s="386" t="s">
        <v>3407</v>
      </c>
      <c r="D20" s="387"/>
      <c r="E20" s="1751" t="s">
        <v>3408</v>
      </c>
      <c r="F20" s="388"/>
      <c r="G20" s="1751" t="s">
        <v>3407</v>
      </c>
      <c r="H20" s="387"/>
      <c r="I20" s="1752" t="s">
        <v>3408</v>
      </c>
      <c r="J20" s="387"/>
      <c r="K20" s="541"/>
      <c r="L20" s="2493"/>
      <c r="M20" s="2488"/>
      <c r="N20" s="2488"/>
      <c r="O20" s="2488"/>
      <c r="P20" s="3372"/>
      <c r="Q20" s="1263"/>
      <c r="R20" s="667"/>
      <c r="S20" s="668"/>
      <c r="T20" s="667"/>
      <c r="U20" s="668"/>
      <c r="V20" s="667"/>
      <c r="W20" s="668"/>
      <c r="X20" s="1265"/>
      <c r="Y20" s="3374"/>
      <c r="Z20" s="1264"/>
      <c r="AA20" s="1264">
        <v>1</v>
      </c>
      <c r="AB20" s="1264">
        <v>1</v>
      </c>
      <c r="AC20" s="1264">
        <v>1</v>
      </c>
    </row>
    <row r="21" spans="1:29" ht="15">
      <c r="A21" s="367"/>
      <c r="B21" s="586" t="s">
        <v>1779</v>
      </c>
      <c r="C21" s="1754">
        <f>估价对象房地状况!C8</f>
        <v>0</v>
      </c>
      <c r="D21" s="394">
        <v>100</v>
      </c>
      <c r="E21" s="398"/>
      <c r="F21" s="397">
        <f>SUMIF(82:82,E22,83:83)-SUMIF(82:82,C22,83:83)+100</f>
        <v>100</v>
      </c>
      <c r="G21" s="398"/>
      <c r="H21" s="389">
        <f>SUMIF(82:82,G22,83:83)-SUMIF(82:82,C22,83:83)+100</f>
        <v>100</v>
      </c>
      <c r="I21" s="396"/>
      <c r="J21" s="389">
        <f>SUMIF(82:82,I22,83:83)-SUMIF(82:82,C22,83:83)+100</f>
        <v>100</v>
      </c>
      <c r="K21" s="540">
        <v>2</v>
      </c>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t="s">
        <v>3423</v>
      </c>
      <c r="D22" s="387"/>
      <c r="E22" s="386" t="s">
        <v>3423</v>
      </c>
      <c r="F22" s="388"/>
      <c r="G22" s="386" t="s">
        <v>3423</v>
      </c>
      <c r="H22" s="387"/>
      <c r="I22" s="386" t="s">
        <v>3423</v>
      </c>
      <c r="J22" s="387"/>
      <c r="K22" s="1064"/>
      <c r="L22" s="2493"/>
      <c r="M22" s="2488"/>
      <c r="N22" s="2488"/>
      <c r="O22" s="2488"/>
      <c r="P22" s="3372"/>
      <c r="Q22" s="1263"/>
      <c r="R22" s="667"/>
      <c r="S22" s="668"/>
      <c r="T22" s="667"/>
      <c r="U22" s="668"/>
      <c r="V22" s="667"/>
      <c r="W22" s="668"/>
      <c r="X22" s="1265"/>
      <c r="Y22" s="3374"/>
      <c r="Z22" s="1264"/>
      <c r="AA22" s="1264">
        <v>1</v>
      </c>
      <c r="AB22" s="1264">
        <v>1</v>
      </c>
      <c r="AC22" s="1264">
        <v>1</v>
      </c>
    </row>
    <row r="23" spans="1:29" ht="15">
      <c r="A23" s="367"/>
      <c r="B23" s="390" t="s">
        <v>1261</v>
      </c>
      <c r="C23" s="1806">
        <f>估价对象房地状况!C9</f>
        <v>0</v>
      </c>
      <c r="D23" s="389">
        <v>100</v>
      </c>
      <c r="E23" s="393"/>
      <c r="F23" s="392">
        <f>SUMIF(84:84,E24,85:85)-SUMIF(84:84,C24,85:85)+100</f>
        <v>100</v>
      </c>
      <c r="G23" s="393"/>
      <c r="H23" s="389">
        <f>SUMIF(84:84,G24,85:85)-SUMIF(84:84,C24,85:85)+100</f>
        <v>100</v>
      </c>
      <c r="I23" s="391"/>
      <c r="J23" s="389">
        <f>SUMIF(84:84,I24,85:85)-SUMIF(84:84,C24,85:85)+100</f>
        <v>100</v>
      </c>
      <c r="K23" s="540">
        <v>3</v>
      </c>
      <c r="L23" s="2493"/>
      <c r="M23" s="2488"/>
      <c r="N23" s="2488"/>
      <c r="O23" s="2488"/>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t="s">
        <v>3407</v>
      </c>
      <c r="D24" s="387"/>
      <c r="E24" s="1751" t="s">
        <v>3407</v>
      </c>
      <c r="F24" s="388"/>
      <c r="G24" s="1751" t="s">
        <v>3407</v>
      </c>
      <c r="H24" s="387"/>
      <c r="I24" s="1752" t="s">
        <v>3407</v>
      </c>
      <c r="J24" s="387"/>
      <c r="K24" s="541"/>
      <c r="L24" s="2493"/>
      <c r="M24" s="2488"/>
      <c r="N24" s="2488"/>
      <c r="O24" s="2488"/>
      <c r="P24" s="3372"/>
      <c r="Q24" s="1263"/>
      <c r="R24" s="667"/>
      <c r="S24" s="668"/>
      <c r="T24" s="667"/>
      <c r="U24" s="668"/>
      <c r="V24" s="667"/>
      <c r="W24" s="668"/>
      <c r="X24" s="1265"/>
      <c r="Y24" s="3374"/>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hidden="1">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hidden="1">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75" thickBot="1">
      <c r="A28" s="367"/>
      <c r="B28" s="364" t="s">
        <v>1783</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93"/>
      <c r="M28" s="2488"/>
      <c r="N28" s="2488"/>
      <c r="O28" s="2488"/>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2"/>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f>'数据-基础表'!I13</f>
        <v>1851.78</v>
      </c>
      <c r="D33" s="119">
        <v>100</v>
      </c>
      <c r="E33" s="369">
        <v>89.01</v>
      </c>
      <c r="F33" s="364">
        <f>LOOKUP(E33,103:103,104:104)-LOOKUP(C33,103:103,104:104)+100</f>
        <v>104</v>
      </c>
      <c r="G33" s="368">
        <v>129.12</v>
      </c>
      <c r="H33" s="119">
        <f>LOOKUP(G33,103:103,104:104)-LOOKUP(C33,103:103,104:104)+100</f>
        <v>103</v>
      </c>
      <c r="I33" s="368">
        <v>361.85</v>
      </c>
      <c r="J33" s="119">
        <f>LOOKUP(I33,103:103,104:104)-LOOKUP(C33,103:103,104:104)+100</f>
        <v>102</v>
      </c>
      <c r="K33" s="539"/>
      <c r="L33" s="2492"/>
      <c r="M33" s="2494"/>
      <c r="N33" s="2494"/>
      <c r="O33" s="2494"/>
      <c r="P33" s="3376"/>
      <c r="Q33" s="531" t="str">
        <f t="shared" si="11"/>
        <v>项目建筑规模</v>
      </c>
      <c r="R33" s="669" t="s">
        <v>14</v>
      </c>
      <c r="S33" s="670">
        <f t="shared" si="12"/>
        <v>104</v>
      </c>
      <c r="T33" s="669" t="s">
        <v>14</v>
      </c>
      <c r="U33" s="670">
        <f t="shared" si="13"/>
        <v>103</v>
      </c>
      <c r="V33" s="669" t="s">
        <v>14</v>
      </c>
      <c r="W33" s="670">
        <f t="shared" si="14"/>
        <v>102</v>
      </c>
      <c r="X33" s="671"/>
      <c r="Y33" s="3378"/>
      <c r="Z33" s="672" t="str">
        <f t="shared" si="15"/>
        <v>项目建筑规模</v>
      </c>
      <c r="AA33" s="1264">
        <f t="shared" si="3"/>
        <v>0.96153846153846156</v>
      </c>
      <c r="AB33" s="1264">
        <f t="shared" si="4"/>
        <v>0.970873786407767</v>
      </c>
      <c r="AC33" s="1264">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ROUND(1-(2025-2013)/60,2)</f>
        <v>0.8</v>
      </c>
      <c r="F36" s="400">
        <f>LOOKUP(E36,110:110,111:111)-LOOKUP(C36,110:110,111:111)+100</f>
        <v>104</v>
      </c>
      <c r="G36" s="411">
        <f>ROUND(1-(2025-2010)/60,2)</f>
        <v>0.75</v>
      </c>
      <c r="H36" s="400">
        <f>LOOKUP(G36,110:110,111:111)-LOOKUP(C36,110:110,111:111)+100</f>
        <v>102</v>
      </c>
      <c r="I36" s="411">
        <f>ROUND(1-(2025-2001)/60,2)</f>
        <v>0.6</v>
      </c>
      <c r="J36" s="374">
        <f>LOOKUP(I36,110:110,111:111)-LOOKUP(C36,110:110,111:111)+100</f>
        <v>100</v>
      </c>
      <c r="K36" s="538">
        <v>2</v>
      </c>
      <c r="L36" s="2493"/>
      <c r="M36" s="2488"/>
      <c r="N36" s="2488"/>
      <c r="O36" s="2488"/>
      <c r="P36" s="3376"/>
      <c r="Q36" s="1263" t="str">
        <f t="shared" si="11"/>
        <v>成新度</v>
      </c>
      <c r="R36" s="667" t="s">
        <v>14</v>
      </c>
      <c r="S36" s="668">
        <f t="shared" si="12"/>
        <v>104</v>
      </c>
      <c r="T36" s="667" t="s">
        <v>14</v>
      </c>
      <c r="U36" s="668">
        <f t="shared" si="13"/>
        <v>102</v>
      </c>
      <c r="V36" s="667" t="s">
        <v>14</v>
      </c>
      <c r="W36" s="668">
        <f t="shared" si="14"/>
        <v>100</v>
      </c>
      <c r="X36" s="1265"/>
      <c r="Y36" s="3378"/>
      <c r="Z36" s="1264" t="str">
        <f t="shared" si="15"/>
        <v>成新度</v>
      </c>
      <c r="AA36" s="1264">
        <f t="shared" si="3"/>
        <v>0.96153846153846156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5">
      <c r="A47" s="416" t="s">
        <v>1708</v>
      </c>
      <c r="B47" s="417"/>
      <c r="C47" s="1081" t="s">
        <v>0</v>
      </c>
      <c r="D47" s="418"/>
      <c r="E47" s="419">
        <v>55612</v>
      </c>
      <c r="F47" s="420"/>
      <c r="G47" s="421">
        <v>53246</v>
      </c>
      <c r="H47" s="422"/>
      <c r="I47" s="419">
        <v>52508</v>
      </c>
      <c r="J47" s="422"/>
      <c r="K47" s="674"/>
      <c r="L47" s="2495"/>
      <c r="M47" s="2488"/>
      <c r="N47" s="2488"/>
      <c r="O47" s="2488"/>
      <c r="P47" s="3366" t="str">
        <f>A47</f>
        <v>成交单价（元/平方米）</v>
      </c>
      <c r="Q47" s="3366"/>
      <c r="R47" s="3367">
        <f>E47</f>
        <v>55612</v>
      </c>
      <c r="S47" s="3367"/>
      <c r="T47" s="3367">
        <f>G47</f>
        <v>53246</v>
      </c>
      <c r="U47" s="3367"/>
      <c r="V47" s="3367">
        <f>I47</f>
        <v>52508</v>
      </c>
      <c r="W47" s="3367"/>
      <c r="X47" s="385"/>
      <c r="Y47" s="673"/>
      <c r="Z47" s="385"/>
      <c r="AA47" s="385"/>
      <c r="AB47" s="385"/>
      <c r="AC47" s="385"/>
    </row>
    <row r="48" spans="1:29" ht="15.75" thickBot="1">
      <c r="A48" s="423" t="s">
        <v>1793</v>
      </c>
      <c r="B48" s="424"/>
      <c r="C48" s="1082">
        <f>R49</f>
        <v>48098</v>
      </c>
      <c r="D48" s="2141" t="s">
        <v>2138</v>
      </c>
      <c r="E48" s="1083">
        <f>R48</f>
        <v>46583</v>
      </c>
      <c r="F48" s="2142"/>
      <c r="G48" s="1082">
        <f>T48</f>
        <v>48713</v>
      </c>
      <c r="H48" s="2142"/>
      <c r="I48" s="1083">
        <f>V48</f>
        <v>48999</v>
      </c>
      <c r="J48" s="2142"/>
      <c r="K48" s="2144">
        <f>F48+H48+J48</f>
        <v>0</v>
      </c>
      <c r="L48" s="2495"/>
      <c r="M48" s="2488"/>
      <c r="N48" s="2488"/>
      <c r="O48" s="2488"/>
      <c r="P48" s="3366" t="str">
        <f>A48</f>
        <v>比较价值（元/平方米）</v>
      </c>
      <c r="Q48" s="3366"/>
      <c r="R48" s="3367">
        <f>IF(F1="售价",ROUND(PRODUCT(R47,AA7:AA46),0),ROUND(PRODUCT(R47,AA7:AA46),1))</f>
        <v>46583</v>
      </c>
      <c r="S48" s="3367"/>
      <c r="T48" s="3367">
        <f>IF(F1="售价",ROUND(PRODUCT(T47,AB7:AB46),0),ROUND(PRODUCT(T47,AB7:AB46),1))</f>
        <v>48713</v>
      </c>
      <c r="U48" s="3367"/>
      <c r="V48" s="3367">
        <f>IF(F1="售价",ROUND(PRODUCT(V47,AC7:AC46),0),ROUND(PRODUCT(V47,AC7:AC46),1))</f>
        <v>48999</v>
      </c>
      <c r="W48" s="3367"/>
      <c r="X48" s="385"/>
      <c r="Y48" s="385"/>
      <c r="Z48" s="385"/>
      <c r="AA48" s="385"/>
      <c r="AB48" s="385"/>
      <c r="AC48" s="385"/>
    </row>
    <row r="49" spans="1:29" ht="15.75" thickBot="1">
      <c r="A49" s="427" t="s">
        <v>1794</v>
      </c>
      <c r="B49" s="428"/>
      <c r="C49" s="351">
        <f>R49</f>
        <v>48098</v>
      </c>
      <c r="D49" s="351"/>
      <c r="E49" s="351"/>
      <c r="F49" s="351"/>
      <c r="G49" s="351"/>
      <c r="H49" s="351"/>
      <c r="I49" s="351"/>
      <c r="J49" s="351"/>
      <c r="K49" s="675"/>
      <c r="L49" s="2495"/>
      <c r="M49" s="2488"/>
      <c r="N49" s="2488"/>
      <c r="O49" s="2488"/>
      <c r="P49" s="3368" t="str">
        <f>A49</f>
        <v>估价对象XX用房的比较价值（楼面单价，元/平方米）</v>
      </c>
      <c r="Q49" s="3369"/>
      <c r="R49" s="3370">
        <f>IF(F1="售价",ROUND(IF(D48="简单平均",AVERAGE(R48:V48),R48*F48+T48*H48+V48*J48),0),ROUND(IF(D48="简单平均",AVERAGE(R48:V48),R48*F48+T48*H48+V48*J48),1))</f>
        <v>48098</v>
      </c>
      <c r="S49" s="3370"/>
      <c r="T49" s="3370"/>
      <c r="U49" s="3370"/>
      <c r="V49" s="3370"/>
      <c r="W49" s="3370"/>
      <c r="X49" s="385"/>
      <c r="Y49" s="385"/>
      <c r="Z49" s="385"/>
      <c r="AA49" s="385"/>
      <c r="AB49" s="385"/>
      <c r="AC49" s="385"/>
    </row>
    <row r="50" spans="1:29">
      <c r="A50" s="2488"/>
      <c r="B50" s="2488"/>
      <c r="C50" s="2488">
        <v>2006</v>
      </c>
      <c r="D50" s="2488"/>
      <c r="E50" s="2488">
        <v>2013</v>
      </c>
      <c r="F50" s="2488"/>
      <c r="G50" s="2488">
        <v>2010</v>
      </c>
      <c r="H50" s="2488"/>
      <c r="I50" s="2488">
        <v>2001</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0.19382607388961648</v>
      </c>
      <c r="F52" s="435" t="str">
        <f>IF(OR(E52&gt;=0.3,E52&lt;=-0.3),"超过30%","")</f>
        <v/>
      </c>
      <c r="G52" s="434">
        <f>IF(G47&lt;G48,G48/G47-1,G47/G48-1)</f>
        <v>9.3055241927206378E-2</v>
      </c>
      <c r="H52" s="435" t="str">
        <f>IF(OR(G52&gt;=0.3,G52&lt;=-0.3),"超过30%","")</f>
        <v/>
      </c>
      <c r="I52" s="434">
        <f>IF(I47&lt;I48,I48/I47-1,I47/I48-1)</f>
        <v>7.1613706402171573E-2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4.5724835240323669E-2</v>
      </c>
      <c r="F53" s="435" t="str">
        <f>IF(OR(E53&gt;=0.2,E53&lt;=-0.2),"超过20%","")</f>
        <v/>
      </c>
      <c r="G53" s="434">
        <f>IF(G48&lt;I48,I48/G48-1,G48/I48-1)</f>
        <v>5.8711226982530729E-3</v>
      </c>
      <c r="H53" s="435" t="str">
        <f>IF(OR(G53&gt;=0.2,G53&lt;=-0.2),"超过20%","")</f>
        <v/>
      </c>
      <c r="I53" s="434">
        <f>IF(I48&lt;E48,E48/I48-1,I48/E48-1)</f>
        <v>5.1864414056630004E-2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4.4435262742741344E-2</v>
      </c>
      <c r="F54" s="435" t="str">
        <f>IF(OR(E54&gt;=0.3,E54&lt;=-0.3),"超过30%","")</f>
        <v/>
      </c>
      <c r="G54" s="434">
        <f>IF(G47&lt;I47,I47/G47-1,G47/I47-1)</f>
        <v>1.4055001142682988E-2</v>
      </c>
      <c r="H54" s="435" t="str">
        <f>IF(OR(G54&gt;=0.3,G54&lt;=-0.3),"超过30%","")</f>
        <v/>
      </c>
      <c r="I54" s="434">
        <f>IF(I47&lt;E47,E47/I47-1,I47/E47-1)</f>
        <v>5.9114801554048801E-2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0" t="s">
        <v>3422</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3161" t="s">
        <v>3426</v>
      </c>
      <c r="D65" s="513" t="s">
        <v>3427</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v>200</v>
      </c>
      <c r="G103" s="6">
        <v>500</v>
      </c>
      <c r="H103" s="6">
        <v>1000</v>
      </c>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v>95</v>
      </c>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4094-0494-4186-B935-DD313C343EEB}">
  <dimension ref="O32:Q36"/>
  <sheetViews>
    <sheetView topLeftCell="A7" workbookViewId="0">
      <selection activeCell="A50" sqref="A50"/>
    </sheetView>
  </sheetViews>
  <sheetFormatPr defaultRowHeight="13.5"/>
  <sheetData>
    <row r="32" spans="15:16">
      <c r="O32">
        <f>129.12/3</f>
        <v>43.04</v>
      </c>
      <c r="P32">
        <v>1</v>
      </c>
    </row>
    <row r="33" spans="15:17">
      <c r="O33">
        <f>129.12/3*2</f>
        <v>86.08</v>
      </c>
      <c r="P33">
        <v>0.7</v>
      </c>
    </row>
    <row r="34" spans="15:17">
      <c r="O34">
        <f>O32+O33</f>
        <v>129.12</v>
      </c>
      <c r="P34">
        <f>(P32*O32+P33*O33)/O34</f>
        <v>0.79999999999999993</v>
      </c>
    </row>
    <row r="35" spans="15:17">
      <c r="Q35">
        <v>42597</v>
      </c>
    </row>
    <row r="36" spans="15:17">
      <c r="Q36">
        <f>ROUND(Q35/P34,0)</f>
        <v>53246</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17" sqref="I1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6901</v>
      </c>
      <c r="C2" s="1289" t="s">
        <v>805</v>
      </c>
      <c r="D2" s="1289"/>
      <c r="E2" s="1295"/>
      <c r="F2" s="1296"/>
      <c r="G2" s="2479"/>
      <c r="H2" s="2469"/>
      <c r="I2" s="2469"/>
      <c r="J2" s="2469"/>
      <c r="K2" s="2470"/>
      <c r="L2" s="2469"/>
      <c r="M2" s="2469"/>
    </row>
    <row r="3" spans="1:37" ht="18" customHeight="1" thickBot="1">
      <c r="A3" s="1297" t="s">
        <v>806</v>
      </c>
      <c r="B3" s="1298">
        <f ca="1">IF(ISERROR(B2*10000/F43),0,ROUND(B2*10000/F43,0))</f>
        <v>37267</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609</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608</v>
      </c>
      <c r="D6" s="147" t="s">
        <v>2109</v>
      </c>
      <c r="E6" s="294" t="s">
        <v>696</v>
      </c>
      <c r="F6" s="295">
        <f ca="1">INDIRECT("'数据-取费表'!u"&amp;$G$1)</f>
        <v>10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1851.78</v>
      </c>
      <c r="G7" s="1292"/>
      <c r="H7" s="296"/>
      <c r="I7" s="3415"/>
      <c r="J7" s="298"/>
      <c r="K7" s="299"/>
      <c r="L7" s="294" t="s">
        <v>697</v>
      </c>
      <c r="M7" s="295">
        <f ca="1">F7</f>
        <v>1851.78</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769</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741</v>
      </c>
      <c r="D14" s="1257" t="s">
        <v>708</v>
      </c>
      <c r="E14" s="1255"/>
      <c r="F14" s="311"/>
      <c r="G14" s="1292"/>
      <c r="H14" s="928" t="s">
        <v>398</v>
      </c>
      <c r="I14" s="294" t="s">
        <v>709</v>
      </c>
      <c r="J14" s="21">
        <f ca="1">C29</f>
        <v>1131</v>
      </c>
      <c r="K14" s="12"/>
      <c r="L14" s="759"/>
      <c r="M14" s="760"/>
    </row>
    <row r="15" spans="1:37" s="1304" customFormat="1" ht="18" customHeight="1" thickBot="1">
      <c r="A15" s="928" t="s">
        <v>399</v>
      </c>
      <c r="B15" s="294" t="s">
        <v>710</v>
      </c>
      <c r="C15" s="21">
        <f ca="1">ROUND(C14*F15,0)</f>
        <v>37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v>
      </c>
      <c r="K16" s="1024" t="s">
        <v>715</v>
      </c>
      <c r="L16" s="1025"/>
      <c r="M16" s="1009"/>
    </row>
    <row r="17" spans="1:37" s="1304" customFormat="1" ht="18" customHeight="1">
      <c r="A17" s="928" t="s">
        <v>681</v>
      </c>
      <c r="B17" s="294" t="s">
        <v>716</v>
      </c>
      <c r="C17" s="21">
        <f ca="1">ROUND(F17*(F43+INDIRECT("'数据-取费表'!S"&amp;$G$1))/10000,0)</f>
        <v>37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17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2.2599999999999998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v>
      </c>
      <c r="K25" s="1032" t="s">
        <v>753</v>
      </c>
      <c r="L25" s="1033"/>
      <c r="M25" s="1034"/>
    </row>
    <row r="26" spans="1:37">
      <c r="A26" s="928" t="s">
        <v>397</v>
      </c>
      <c r="B26" s="294" t="s">
        <v>754</v>
      </c>
      <c r="C26" s="21">
        <f ca="1">ROUND((C19+C20)*F26,0)</f>
        <v>169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1131</v>
      </c>
      <c r="D29" s="1029"/>
      <c r="E29" s="1027"/>
      <c r="F29" s="1030"/>
      <c r="G29" s="1303"/>
      <c r="H29" s="325" t="s">
        <v>396</v>
      </c>
      <c r="I29" s="326" t="s">
        <v>768</v>
      </c>
      <c r="J29" s="327">
        <f ca="1">ROUND(J26/(1+F40)^F41,0)</f>
        <v>0</v>
      </c>
      <c r="K29" s="328" t="s">
        <v>769</v>
      </c>
      <c r="L29" s="329"/>
      <c r="M29" s="330">
        <f ca="1">INDIRECT("'数据-取费表'!k"&amp;$G$1)</f>
        <v>1851.78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101.92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32.43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69.489999999999995</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2.2599999999999998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0.77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6.09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498</v>
      </c>
      <c r="D39" s="1032" t="s">
        <v>773</v>
      </c>
      <c r="E39" s="1033"/>
      <c r="F39" s="1034"/>
      <c r="G39" s="1292"/>
      <c r="H39" s="2474"/>
      <c r="I39" s="1305"/>
      <c r="J39" s="1306"/>
      <c r="K39" s="2472"/>
      <c r="L39" s="2474"/>
      <c r="M39" s="2474"/>
    </row>
    <row r="40" spans="1:18" ht="18" customHeight="1">
      <c r="A40" s="291" t="s">
        <v>395</v>
      </c>
      <c r="B40" s="292" t="s">
        <v>774</v>
      </c>
      <c r="C40" s="293">
        <f ca="1">ROUND(C39*(1-((1+F42)/(1+F40))^F41)/(F40-F42),0)</f>
        <v>6734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36365</v>
      </c>
      <c r="D43" s="328" t="s">
        <v>777</v>
      </c>
      <c r="E43" s="329" t="s">
        <v>778</v>
      </c>
      <c r="F43" s="330">
        <f ca="1">INDIRECT("'数据-取费表'!k"&amp;$G$1)</f>
        <v>1851.78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-6769</v>
      </c>
      <c r="D46" s="1313" t="str">
        <f>C2</f>
        <v>万元</v>
      </c>
      <c r="E46" s="1307"/>
      <c r="F46" s="1307"/>
      <c r="I46" s="1314" t="s">
        <v>810</v>
      </c>
      <c r="J46" s="1315"/>
      <c r="K46" s="1316"/>
      <c r="L46" s="1317">
        <f ca="1">IF(M47="住宅",0,IF(L48&gt;J51,L60,J60))</f>
        <v>167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3415</v>
      </c>
      <c r="K47" s="1323" t="s">
        <v>816</v>
      </c>
      <c r="L47" s="1324">
        <f ca="1">INDIRECT("'数据-取费表'!d"&amp;$G$1)</f>
        <v>40</v>
      </c>
      <c r="M47" s="1288" t="str">
        <f>IF(ISNUMBER(FIND("住宅",C1)),"住宅","非住宅")</f>
        <v>非住宅</v>
      </c>
      <c r="O47" s="1325" t="s">
        <v>403</v>
      </c>
      <c r="P47" s="1326" t="s">
        <v>817</v>
      </c>
      <c r="Q47" s="1327">
        <f ca="1">C40+J29</f>
        <v>6734</v>
      </c>
      <c r="R47" s="1327" t="s">
        <v>818</v>
      </c>
    </row>
    <row r="48" spans="1:18" s="1292" customFormat="1" ht="28.5" thickBot="1">
      <c r="A48" s="1047" t="s">
        <v>438</v>
      </c>
      <c r="B48" s="292" t="s">
        <v>692</v>
      </c>
      <c r="C48" s="1268">
        <f ca="1">C49+C53+C55</f>
        <v>0</v>
      </c>
      <c r="D48" s="1049"/>
      <c r="E48" s="1050"/>
      <c r="F48" s="908"/>
      <c r="G48" s="681"/>
      <c r="H48" s="682"/>
      <c r="I48" s="1328" t="s">
        <v>819</v>
      </c>
      <c r="J48" s="1329" t="s">
        <v>3416</v>
      </c>
      <c r="K48" s="1330" t="s">
        <v>820</v>
      </c>
      <c r="L48" s="1331">
        <f ca="1">INDIRECT("'数据-取费表'!f"&amp;$G$1)</f>
        <v>19</v>
      </c>
      <c r="O48" s="1325" t="s">
        <v>404</v>
      </c>
      <c r="P48" s="1326" t="s">
        <v>821</v>
      </c>
      <c r="Q48" s="1327">
        <f ca="1">J60</f>
        <v>167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2019</v>
      </c>
      <c r="K49" s="1330" t="s">
        <v>824</v>
      </c>
      <c r="L49" s="1333"/>
      <c r="O49" s="1334" t="s">
        <v>405</v>
      </c>
      <c r="P49" s="1326" t="s">
        <v>825</v>
      </c>
      <c r="Q49" s="1327">
        <f ca="1">C29</f>
        <v>1131</v>
      </c>
      <c r="R49" s="1327" t="s">
        <v>818</v>
      </c>
    </row>
    <row r="50" spans="1:18" s="1292" customFormat="1" ht="13.5" thickBot="1">
      <c r="A50" s="922"/>
      <c r="B50" s="925"/>
      <c r="C50" s="1055"/>
      <c r="D50" s="899"/>
      <c r="E50" s="993" t="s">
        <v>697</v>
      </c>
      <c r="F50" s="994">
        <f ca="1">F7</f>
        <v>1851.78</v>
      </c>
      <c r="H50" s="682"/>
      <c r="I50" s="1328" t="s">
        <v>826</v>
      </c>
      <c r="J50" s="1335">
        <f>SUMPRODUCT((I63:I65=J47)*(J62:L62=J48)*(J63:L65))</f>
        <v>60</v>
      </c>
      <c r="K50" s="1330" t="s">
        <v>827</v>
      </c>
      <c r="L50" s="1333"/>
      <c r="M50" s="1336"/>
      <c r="O50" s="1334" t="s">
        <v>406</v>
      </c>
      <c r="P50" s="1326" t="s">
        <v>828</v>
      </c>
      <c r="Q50" s="1337">
        <f ca="1">J58</f>
        <v>0.58299999999999996</v>
      </c>
      <c r="R50" s="1327"/>
    </row>
    <row r="51" spans="1:18" s="1292" customFormat="1" ht="13.5"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8246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19</v>
      </c>
      <c r="K53" s="3412" t="s">
        <v>837</v>
      </c>
      <c r="L53" s="3413"/>
      <c r="O53" s="1325" t="s">
        <v>409</v>
      </c>
      <c r="P53" s="1326" t="s">
        <v>838</v>
      </c>
      <c r="Q53" s="1327">
        <f ca="1">Q47+Q48</f>
        <v>6901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0.58299999999999996</v>
      </c>
      <c r="K55" s="1350" t="s">
        <v>841</v>
      </c>
      <c r="L55" s="1351"/>
      <c r="O55" s="1318" t="s">
        <v>811</v>
      </c>
      <c r="P55" s="1319" t="s">
        <v>812</v>
      </c>
      <c r="Q55" s="1320" t="s">
        <v>813</v>
      </c>
      <c r="R55" s="1320" t="s">
        <v>814</v>
      </c>
    </row>
    <row r="56" spans="1:18" s="1292" customFormat="1" ht="25.5" thickTop="1" thickBot="1">
      <c r="A56" s="903">
        <v>2</v>
      </c>
      <c r="B56" s="904" t="s">
        <v>704</v>
      </c>
      <c r="C56" s="224">
        <f ca="1">C13</f>
        <v>769</v>
      </c>
      <c r="D56" s="1352"/>
      <c r="E56" s="1353"/>
      <c r="F56" s="1345"/>
      <c r="I56" s="1354" t="s">
        <v>842</v>
      </c>
      <c r="J56" s="1355"/>
      <c r="K56" s="1328" t="s">
        <v>843</v>
      </c>
      <c r="L56" s="1331" t="str">
        <f ca="1">IF(L48&lt;J51,"——",L48-J53)</f>
        <v>——</v>
      </c>
      <c r="O56" s="1325" t="s">
        <v>403</v>
      </c>
      <c r="P56" s="1326" t="s">
        <v>817</v>
      </c>
      <c r="Q56" s="1327">
        <f ca="1">C40+J29</f>
        <v>6734</v>
      </c>
      <c r="R56" s="1327" t="s">
        <v>818</v>
      </c>
    </row>
    <row r="57" spans="1:18" s="1292" customFormat="1" ht="24.75" thickBot="1">
      <c r="A57" s="1356"/>
      <c r="B57" s="896" t="s">
        <v>767</v>
      </c>
      <c r="C57" s="230">
        <f ca="1">C29</f>
        <v>1131</v>
      </c>
      <c r="D57" s="1357"/>
      <c r="E57" s="1358"/>
      <c r="F57" s="1359"/>
      <c r="I57" s="1360" t="s">
        <v>844</v>
      </c>
      <c r="J57" s="1361">
        <f ca="1">IF(OR(M47="住宅",J51&lt;L48,J56="是"),"——",J51-L48)</f>
        <v>35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0.58299999999999996</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659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6734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2.2599999999999998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0.77</v>
      </c>
      <c r="D65" s="910" t="s">
        <v>743</v>
      </c>
      <c r="E65" s="896" t="s">
        <v>744</v>
      </c>
      <c r="F65" s="321">
        <f t="shared" ca="1" si="0"/>
        <v>1E-3</v>
      </c>
      <c r="I65" s="1367" t="s">
        <v>867</v>
      </c>
      <c r="J65" s="610">
        <v>40</v>
      </c>
      <c r="K65" s="610">
        <v>30</v>
      </c>
      <c r="L65" s="610">
        <v>50</v>
      </c>
      <c r="M65" s="1369">
        <v>0.02</v>
      </c>
      <c r="O65" s="1325" t="s">
        <v>403</v>
      </c>
      <c r="P65" s="1326" t="s">
        <v>868</v>
      </c>
      <c r="Q65" s="1327">
        <f ca="1">C40+J29</f>
        <v>6734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8246</v>
      </c>
      <c r="R67" s="1327" t="s">
        <v>870</v>
      </c>
    </row>
    <row r="68" spans="1:18" s="1292" customFormat="1" ht="16.5" thickBot="1">
      <c r="A68" s="893" t="s">
        <v>395</v>
      </c>
      <c r="B68" s="894" t="s">
        <v>774</v>
      </c>
      <c r="C68" s="293">
        <f ca="1">ROUND(C67*(1-((1+F70)/(1+F68))^F69)/(F68-F70),0)</f>
        <v>-35</v>
      </c>
      <c r="D68" s="911" t="s">
        <v>758</v>
      </c>
      <c r="E68" s="896" t="s">
        <v>759</v>
      </c>
      <c r="F68" s="304">
        <f ca="1">F40</f>
        <v>5.5E-2</v>
      </c>
      <c r="O68" s="1334" t="s">
        <v>406</v>
      </c>
      <c r="P68" s="1371" t="s">
        <v>871</v>
      </c>
      <c r="Q68" s="1327">
        <f ca="1">ROUND(Q69-Q70*Q71,0)</f>
        <v>444</v>
      </c>
      <c r="R68" s="1327" t="s">
        <v>414</v>
      </c>
    </row>
    <row r="69" spans="1:18" s="1292" customFormat="1" ht="13.5" thickBot="1">
      <c r="A69" s="897"/>
      <c r="B69" s="898"/>
      <c r="C69" s="298"/>
      <c r="D69" s="916" t="s">
        <v>762</v>
      </c>
      <c r="E69" s="896" t="s">
        <v>763</v>
      </c>
      <c r="F69" s="324">
        <f ca="1">F41</f>
        <v>19</v>
      </c>
      <c r="O69" s="1334" t="s">
        <v>411</v>
      </c>
      <c r="P69" s="1371" t="s">
        <v>872</v>
      </c>
      <c r="Q69" s="1327">
        <f ca="1">C39</f>
        <v>498</v>
      </c>
      <c r="R69" s="1327" t="s">
        <v>818</v>
      </c>
    </row>
    <row r="70" spans="1:18" s="1292" customFormat="1" ht="13.5" thickBot="1">
      <c r="A70" s="900"/>
      <c r="B70" s="901"/>
      <c r="C70" s="302"/>
      <c r="D70" s="912"/>
      <c r="E70" s="896" t="s">
        <v>766</v>
      </c>
      <c r="F70" s="991"/>
      <c r="O70" s="1334" t="s">
        <v>412</v>
      </c>
      <c r="P70" s="1371" t="s">
        <v>873</v>
      </c>
      <c r="Q70" s="1327">
        <f ca="1">C13</f>
        <v>769</v>
      </c>
      <c r="R70" s="1327" t="s">
        <v>818</v>
      </c>
    </row>
    <row r="71" spans="1:18" s="1292" customFormat="1" ht="13.5" thickBot="1">
      <c r="A71" s="917" t="s">
        <v>396</v>
      </c>
      <c r="B71" s="918" t="s">
        <v>776</v>
      </c>
      <c r="C71" s="327">
        <f ca="1">ROUND(C68*10000/F71,0)</f>
        <v>-189</v>
      </c>
      <c r="D71" s="919" t="s">
        <v>777</v>
      </c>
      <c r="E71" s="920" t="s">
        <v>778</v>
      </c>
      <c r="F71" s="330">
        <f ca="1">F43</f>
        <v>1851.78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v>
      </c>
      <c r="D75" s="1292"/>
      <c r="E75" s="1292"/>
      <c r="F75" s="1292"/>
      <c r="K75" s="1309"/>
      <c r="L75" s="1292"/>
      <c r="O75" s="1325" t="s">
        <v>409</v>
      </c>
      <c r="P75" s="1326" t="s">
        <v>838</v>
      </c>
      <c r="Q75" s="1327">
        <f ca="1">Q65+Q66</f>
        <v>6734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0.89200000000000002</v>
      </c>
    </row>
    <row r="80" spans="1:18">
      <c r="B80" s="331" t="s">
        <v>800</v>
      </c>
      <c r="C80" s="266">
        <f ca="1">ROUND(C75/C39,3)</f>
        <v>0.108</v>
      </c>
    </row>
    <row r="81" spans="2:3">
      <c r="B81" s="262" t="s">
        <v>801</v>
      </c>
      <c r="C81" s="230"/>
    </row>
    <row r="82" spans="2:3">
      <c r="B82" s="265" t="s">
        <v>802</v>
      </c>
      <c r="C82" s="267">
        <f ca="1">1-C83</f>
        <v>0.88600000000000001</v>
      </c>
    </row>
    <row r="83" spans="2:3">
      <c r="B83" s="265" t="s">
        <v>803</v>
      </c>
      <c r="C83" s="266">
        <f ca="1">ROUND(C13/C40,3)</f>
        <v>0.114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423" t="s">
        <v>2308</v>
      </c>
      <c r="K2" s="3424"/>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25" t="s">
        <v>2318</v>
      </c>
      <c r="K3" s="3426"/>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25" t="s">
        <v>2320</v>
      </c>
      <c r="K4" s="3426"/>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31" t="s">
        <v>2324</v>
      </c>
      <c r="B6" s="3432"/>
      <c r="C6" s="3433"/>
      <c r="D6" s="2622"/>
      <c r="E6" s="2623"/>
      <c r="F6" s="2624"/>
      <c r="G6" s="2625"/>
      <c r="H6" s="2600"/>
      <c r="I6" s="2601"/>
      <c r="J6" s="3417">
        <v>1</v>
      </c>
      <c r="K6" s="3418"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17"/>
      <c r="K7" s="3419"/>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34" t="s">
        <v>2338</v>
      </c>
      <c r="C8" s="3435"/>
      <c r="D8" s="2641" t="s">
        <v>2339</v>
      </c>
      <c r="E8" s="2642" t="s">
        <v>2340</v>
      </c>
      <c r="F8" s="2643" t="s">
        <v>2341</v>
      </c>
      <c r="G8" s="2644"/>
      <c r="H8" s="2600"/>
      <c r="I8" s="2601"/>
      <c r="J8" s="3417"/>
      <c r="K8" s="3419"/>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34" t="s">
        <v>2344</v>
      </c>
      <c r="C9" s="3435"/>
      <c r="D9" s="2641">
        <f>ROUND(D6*E9,0)</f>
        <v>0</v>
      </c>
      <c r="E9" s="2645"/>
      <c r="F9" s="2646" t="s">
        <v>2345</v>
      </c>
      <c r="G9" s="2625"/>
      <c r="H9" s="2600"/>
      <c r="I9" s="2601"/>
      <c r="J9" s="3417"/>
      <c r="K9" s="3419"/>
      <c r="L9" s="2635" t="s">
        <v>2346</v>
      </c>
      <c r="M9" s="2636"/>
      <c r="N9" s="2612"/>
      <c r="O9" s="2637"/>
      <c r="P9" s="2637"/>
      <c r="Q9" s="2638">
        <v>365</v>
      </c>
      <c r="R9" s="2639">
        <f t="shared" si="0"/>
        <v>0</v>
      </c>
      <c r="S9" s="2593"/>
      <c r="T9" s="2593"/>
      <c r="U9" s="2593"/>
      <c r="V9" s="2601"/>
    </row>
    <row r="10" spans="1:22" s="2605" customFormat="1" ht="13.15" customHeight="1">
      <c r="A10" s="2640">
        <v>2</v>
      </c>
      <c r="B10" s="3434" t="s">
        <v>2347</v>
      </c>
      <c r="C10" s="3435"/>
      <c r="D10" s="2641">
        <f>ROUND(D6*E10,0)</f>
        <v>0</v>
      </c>
      <c r="E10" s="2645"/>
      <c r="F10" s="2646" t="s">
        <v>2348</v>
      </c>
      <c r="G10" s="2625"/>
      <c r="H10" s="2600"/>
      <c r="I10" s="2601"/>
      <c r="J10" s="3417"/>
      <c r="K10" s="3419"/>
      <c r="L10" s="2635" t="s">
        <v>2349</v>
      </c>
      <c r="M10" s="2636"/>
      <c r="N10" s="2612"/>
      <c r="O10" s="2637"/>
      <c r="P10" s="2637"/>
      <c r="Q10" s="2638">
        <v>365</v>
      </c>
      <c r="R10" s="2639">
        <f t="shared" si="0"/>
        <v>0</v>
      </c>
      <c r="S10" s="2593"/>
      <c r="T10" s="2593"/>
      <c r="U10" s="2593"/>
      <c r="V10" s="2601"/>
    </row>
    <row r="11" spans="1:22" s="2605" customFormat="1" ht="13.15" customHeight="1">
      <c r="A11" s="2640">
        <v>3</v>
      </c>
      <c r="B11" s="3434" t="s">
        <v>2350</v>
      </c>
      <c r="C11" s="3435"/>
      <c r="D11" s="2641">
        <f>D12+D14+D15+D16</f>
        <v>0</v>
      </c>
      <c r="E11" s="2647" t="e">
        <f>D11/D6</f>
        <v>#DIV/0!</v>
      </c>
      <c r="F11" s="2643"/>
      <c r="G11" s="2644"/>
      <c r="H11" s="2600"/>
      <c r="I11" s="2601"/>
      <c r="J11" s="3417"/>
      <c r="K11" s="3419"/>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27" t="s">
        <v>2353</v>
      </c>
      <c r="C12" s="3428"/>
      <c r="D12" s="2649">
        <f>ROUND(D13*1.2%*(1-30%),0)</f>
        <v>0</v>
      </c>
      <c r="E12" s="2650">
        <v>1.2E-2</v>
      </c>
      <c r="F12" s="2643" t="s">
        <v>2354</v>
      </c>
      <c r="G12" s="2644"/>
      <c r="H12" s="2600"/>
      <c r="I12" s="2601"/>
      <c r="J12" s="3417"/>
      <c r="K12" s="3419"/>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17"/>
      <c r="K13" s="3419"/>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27" t="s">
        <v>2359</v>
      </c>
      <c r="C14" s="3428"/>
      <c r="D14" s="2649">
        <f>ROUND(E14*B5/10000,0)</f>
        <v>0</v>
      </c>
      <c r="E14" s="2638"/>
      <c r="F14" s="2643" t="s">
        <v>2360</v>
      </c>
      <c r="G14" s="2644"/>
      <c r="H14" s="2600"/>
      <c r="I14" s="2601"/>
      <c r="J14" s="3417"/>
      <c r="K14" s="3420"/>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27" t="s">
        <v>2363</v>
      </c>
      <c r="C15" s="3428"/>
      <c r="D15" s="2649">
        <f>ROUND(D6*E15,0)</f>
        <v>0</v>
      </c>
      <c r="E15" s="2650">
        <v>5.5E-2</v>
      </c>
      <c r="F15" s="2643" t="s">
        <v>2364</v>
      </c>
      <c r="G15" s="2625"/>
      <c r="H15" s="2600"/>
      <c r="I15" s="2601"/>
      <c r="J15" s="3417">
        <v>2</v>
      </c>
      <c r="K15" s="3418"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27" t="s">
        <v>2372</v>
      </c>
      <c r="C16" s="3428"/>
      <c r="D16" s="2660">
        <f>D6*E16</f>
        <v>0</v>
      </c>
      <c r="E16" s="2661"/>
      <c r="F16" s="2646" t="s">
        <v>2373</v>
      </c>
      <c r="G16" s="2625"/>
      <c r="H16" s="2600"/>
      <c r="I16" s="2601"/>
      <c r="J16" s="3417"/>
      <c r="K16" s="3419"/>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9" t="s">
        <v>2375</v>
      </c>
      <c r="C17" s="3430"/>
      <c r="D17" s="2663">
        <f>ROUND(D6*E17,0)</f>
        <v>0</v>
      </c>
      <c r="E17" s="2664"/>
      <c r="F17" s="2665" t="s">
        <v>2376</v>
      </c>
      <c r="G17" s="2625"/>
      <c r="H17" s="2600"/>
      <c r="I17" s="2601"/>
      <c r="J17" s="3417"/>
      <c r="K17" s="3419"/>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17"/>
      <c r="K18" s="3419"/>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17"/>
      <c r="K19" s="3420"/>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7">
        <v>3</v>
      </c>
      <c r="K20" s="3418"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17"/>
      <c r="K21" s="3419"/>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17"/>
      <c r="K22" s="3419"/>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17"/>
      <c r="K23" s="3419"/>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17"/>
      <c r="K24" s="3420"/>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2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2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23" t="s">
        <v>2308</v>
      </c>
      <c r="K32" s="3424"/>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25" t="s">
        <v>2318</v>
      </c>
      <c r="K33" s="3426"/>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25" t="s">
        <v>2320</v>
      </c>
      <c r="K34" s="342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17">
        <v>1</v>
      </c>
      <c r="K36" s="3418"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17"/>
      <c r="K37" s="3419"/>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7"/>
      <c r="K38" s="3419"/>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17"/>
      <c r="K39" s="3419"/>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17"/>
      <c r="K40" s="3420"/>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2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6901</v>
      </c>
      <c r="C2" s="1729" t="s">
        <v>1651</v>
      </c>
      <c r="D2" s="1730" t="s">
        <v>1652</v>
      </c>
      <c r="E2" s="2393">
        <f>SUM(E6:E13)</f>
        <v>1851.78</v>
      </c>
      <c r="F2" s="2480"/>
      <c r="G2" s="459"/>
      <c r="H2" s="459"/>
      <c r="I2" s="459"/>
      <c r="J2" s="459"/>
      <c r="K2" s="459"/>
      <c r="L2" s="459"/>
      <c r="M2" s="459"/>
      <c r="N2" s="459"/>
      <c r="O2" s="459"/>
      <c r="P2" s="459"/>
      <c r="Q2" s="459"/>
      <c r="R2" s="459"/>
      <c r="S2" s="459"/>
    </row>
    <row r="3" spans="1:22" ht="15.75">
      <c r="A3" s="1728" t="s">
        <v>686</v>
      </c>
      <c r="B3" s="2387">
        <f ca="1">ROUND(B2*10000/E2,0)</f>
        <v>37267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6901</v>
      </c>
      <c r="C6" s="1729" t="s">
        <v>1651</v>
      </c>
      <c r="D6" s="2480"/>
      <c r="E6" s="2392">
        <f>IF(OR(A6=0,F6="否"),0,'数据-取费表'!K6+'数据-取费表'!S6)</f>
        <v>1851.78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估价对象为北京市房地产，为所有。根据《国有土地使用证》[]，估价对象（分摊）出让国有建设用地使用权面积为0平方米，建筑面积为1851.78平方米。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估价对象为北京市房地产,属开发建设的，该项目尚在开发建设中。根据《国有土地使用证》[]，估价对象（分摊）出让国有建设用地使用权面积为0平方米，规划建筑面积为1851.78平方米。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2025年2月20日（评估专业人员实地查勘之日）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1851.78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7"/>
      <c r="M4" s="2488"/>
      <c r="N4" s="2488"/>
      <c r="O4" s="2488"/>
      <c r="P4" s="3388" t="s">
        <v>1672</v>
      </c>
      <c r="Q4" s="3389"/>
      <c r="R4" s="3394" t="s">
        <v>1668</v>
      </c>
      <c r="S4" s="3395"/>
      <c r="T4" s="3394" t="s">
        <v>1669</v>
      </c>
      <c r="U4" s="3395"/>
      <c r="V4" s="3367" t="s">
        <v>1670</v>
      </c>
      <c r="W4" s="3367"/>
      <c r="X4" s="1265"/>
      <c r="Y4" s="3394" t="s">
        <v>1672</v>
      </c>
      <c r="Z4" s="3395"/>
      <c r="AA4" s="3381" t="s">
        <v>1668</v>
      </c>
      <c r="AB4" s="3381" t="s">
        <v>1669</v>
      </c>
      <c r="AC4" s="3381" t="s">
        <v>1670</v>
      </c>
    </row>
    <row r="5" spans="1:29" ht="15">
      <c r="A5" s="348"/>
      <c r="B5" s="349"/>
      <c r="C5" s="3407" t="s">
        <v>1673</v>
      </c>
      <c r="D5" s="3403"/>
      <c r="E5" s="3438" t="s">
        <v>1674</v>
      </c>
      <c r="F5" s="3411"/>
      <c r="G5" s="3407" t="s">
        <v>1675</v>
      </c>
      <c r="H5" s="3403"/>
      <c r="I5" s="3407" t="s">
        <v>1676</v>
      </c>
      <c r="J5" s="3403"/>
      <c r="K5" s="1745"/>
      <c r="L5" s="2487"/>
      <c r="M5" s="2488"/>
      <c r="N5" s="2488"/>
      <c r="O5" s="2488"/>
      <c r="P5" s="3390"/>
      <c r="Q5" s="3391"/>
      <c r="R5" s="3396"/>
      <c r="S5" s="3397"/>
      <c r="T5" s="3396"/>
      <c r="U5" s="3397"/>
      <c r="V5" s="3367"/>
      <c r="W5" s="3367"/>
      <c r="X5" s="1265"/>
      <c r="Y5" s="3396"/>
      <c r="Z5" s="3397"/>
      <c r="AA5" s="3382"/>
      <c r="AB5" s="3382"/>
      <c r="AC5" s="3382"/>
    </row>
    <row r="6" spans="1:29" ht="15.75" thickBot="1">
      <c r="A6" s="350"/>
      <c r="B6" s="351"/>
      <c r="C6" s="3400" t="s">
        <v>1677</v>
      </c>
      <c r="D6" s="3401"/>
      <c r="E6" s="3408" t="s">
        <v>1677</v>
      </c>
      <c r="F6" s="3409"/>
      <c r="G6" s="3400" t="s">
        <v>1677</v>
      </c>
      <c r="H6" s="3401"/>
      <c r="I6" s="3400" t="s">
        <v>1677</v>
      </c>
      <c r="J6" s="3401"/>
      <c r="K6" s="1745" t="s">
        <v>1678</v>
      </c>
      <c r="L6" s="2487"/>
      <c r="M6" s="2488"/>
      <c r="N6" s="2488"/>
      <c r="O6" s="2488"/>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4" t="s">
        <v>1680</v>
      </c>
      <c r="Q7" s="3406"/>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0"/>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0"/>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0"/>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0"/>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1"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2"/>
      <c r="Q16" s="1263"/>
      <c r="R16" s="667"/>
      <c r="S16" s="668"/>
      <c r="T16" s="667"/>
      <c r="U16" s="668"/>
      <c r="V16" s="667"/>
      <c r="W16" s="668"/>
      <c r="X16" s="1265"/>
      <c r="Y16" s="337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2"/>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2"/>
      <c r="Q18" s="1263"/>
      <c r="R18" s="667"/>
      <c r="S18" s="668"/>
      <c r="T18" s="667"/>
      <c r="U18" s="668"/>
      <c r="V18" s="667"/>
      <c r="W18" s="668"/>
      <c r="X18" s="1265"/>
      <c r="Y18" s="337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2"/>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2"/>
      <c r="Q20" s="1263"/>
      <c r="R20" s="667"/>
      <c r="S20" s="668"/>
      <c r="T20" s="667"/>
      <c r="U20" s="668"/>
      <c r="V20" s="667"/>
      <c r="W20" s="668"/>
      <c r="X20" s="1265"/>
      <c r="Y20" s="337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2"/>
      <c r="Q22" s="1263"/>
      <c r="R22" s="667"/>
      <c r="S22" s="668"/>
      <c r="T22" s="667"/>
      <c r="U22" s="668"/>
      <c r="V22" s="667"/>
      <c r="W22" s="668"/>
      <c r="X22" s="1265"/>
      <c r="Y22" s="337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2"/>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2"/>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2"/>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2"/>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2"/>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2"/>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2"/>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2"/>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1851.78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445" t="s">
        <v>1775</v>
      </c>
      <c r="Q4" s="3446"/>
      <c r="R4" s="3449" t="s">
        <v>1771</v>
      </c>
      <c r="S4" s="3450"/>
      <c r="T4" s="3449" t="s">
        <v>1772</v>
      </c>
      <c r="U4" s="3450"/>
      <c r="V4" s="3451" t="s">
        <v>1773</v>
      </c>
      <c r="W4" s="3451"/>
      <c r="X4" s="1809"/>
      <c r="Y4" s="3449" t="s">
        <v>1775</v>
      </c>
      <c r="Z4" s="3450"/>
      <c r="AA4" s="3453" t="s">
        <v>1771</v>
      </c>
      <c r="AB4" s="3453" t="s">
        <v>1772</v>
      </c>
      <c r="AC4" s="3442" t="s">
        <v>1773</v>
      </c>
    </row>
    <row r="5" spans="1:29" ht="15">
      <c r="A5" s="348"/>
      <c r="B5" s="349"/>
      <c r="C5" s="3407" t="s">
        <v>1673</v>
      </c>
      <c r="D5" s="3403"/>
      <c r="E5" s="3438" t="s">
        <v>1674</v>
      </c>
      <c r="F5" s="3411"/>
      <c r="G5" s="3407" t="s">
        <v>1675</v>
      </c>
      <c r="H5" s="3403"/>
      <c r="I5" s="3407" t="s">
        <v>1676</v>
      </c>
      <c r="J5" s="3403"/>
      <c r="K5" s="537"/>
      <c r="L5" s="2487"/>
      <c r="M5" s="2488"/>
      <c r="N5" s="2488"/>
      <c r="O5" s="2488"/>
      <c r="P5" s="3447"/>
      <c r="Q5" s="3391"/>
      <c r="R5" s="3396"/>
      <c r="S5" s="3397"/>
      <c r="T5" s="3396"/>
      <c r="U5" s="3397"/>
      <c r="V5" s="3367"/>
      <c r="W5" s="3367"/>
      <c r="X5" s="1265"/>
      <c r="Y5" s="3396"/>
      <c r="Z5" s="3397"/>
      <c r="AA5" s="3382"/>
      <c r="AB5" s="3382"/>
      <c r="AC5" s="3443"/>
    </row>
    <row r="6" spans="1:29" ht="15.75" thickBot="1">
      <c r="A6" s="350"/>
      <c r="B6" s="351"/>
      <c r="C6" s="3400" t="s">
        <v>1677</v>
      </c>
      <c r="D6" s="3401"/>
      <c r="E6" s="3408" t="s">
        <v>1677</v>
      </c>
      <c r="F6" s="3409"/>
      <c r="G6" s="3400" t="s">
        <v>1677</v>
      </c>
      <c r="H6" s="3401"/>
      <c r="I6" s="3400" t="s">
        <v>1677</v>
      </c>
      <c r="J6" s="3401"/>
      <c r="K6" s="537" t="s">
        <v>1678</v>
      </c>
      <c r="L6" s="2487"/>
      <c r="M6" s="2488"/>
      <c r="N6" s="2488"/>
      <c r="O6" s="2488"/>
      <c r="P6" s="3448"/>
      <c r="Q6" s="3393"/>
      <c r="R6" s="3396"/>
      <c r="S6" s="3397"/>
      <c r="T6" s="3398"/>
      <c r="U6" s="3399"/>
      <c r="V6" s="3367"/>
      <c r="W6" s="3367"/>
      <c r="X6" s="1265"/>
      <c r="Y6" s="3398"/>
      <c r="Z6" s="3399"/>
      <c r="AA6" s="3383"/>
      <c r="AB6" s="3383"/>
      <c r="AC6" s="3444"/>
    </row>
    <row r="7" spans="1:29" s="102" customFormat="1" ht="15.75" thickBot="1">
      <c r="A7" s="352" t="s">
        <v>1679</v>
      </c>
      <c r="B7" s="353"/>
      <c r="C7" s="354">
        <f>'数据-取费表'!B2</f>
        <v>45708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2"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2"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0"/>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1"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2"/>
      <c r="Q16" s="1263"/>
      <c r="R16" s="667"/>
      <c r="S16" s="668"/>
      <c r="T16" s="667"/>
      <c r="U16" s="668"/>
      <c r="V16" s="667"/>
      <c r="W16" s="668"/>
      <c r="X16" s="1265"/>
      <c r="Y16" s="337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2"/>
      <c r="Q18" s="1263"/>
      <c r="R18" s="667"/>
      <c r="S18" s="668"/>
      <c r="T18" s="667"/>
      <c r="U18" s="668"/>
      <c r="V18" s="667"/>
      <c r="W18" s="668"/>
      <c r="X18" s="1265"/>
      <c r="Y18" s="337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2"/>
      <c r="Q20" s="1263"/>
      <c r="R20" s="667"/>
      <c r="S20" s="668"/>
      <c r="T20" s="667"/>
      <c r="U20" s="668"/>
      <c r="V20" s="667"/>
      <c r="W20" s="668"/>
      <c r="X20" s="1265"/>
      <c r="Y20" s="337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2"/>
      <c r="Q22" s="1263"/>
      <c r="R22" s="667"/>
      <c r="S22" s="668"/>
      <c r="T22" s="667"/>
      <c r="U22" s="668"/>
      <c r="V22" s="667"/>
      <c r="W22" s="668"/>
      <c r="X22" s="1265"/>
      <c r="Y22" s="337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2"/>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2"/>
      <c r="Q24" s="1263"/>
      <c r="R24" s="667"/>
      <c r="S24" s="668"/>
      <c r="T24" s="667"/>
      <c r="U24" s="668"/>
      <c r="V24" s="667"/>
      <c r="W24" s="668"/>
      <c r="X24" s="1265"/>
      <c r="Y24" s="337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2"/>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2"/>
      <c r="Q26" s="1263"/>
      <c r="R26" s="667"/>
      <c r="S26" s="668"/>
      <c r="T26" s="667"/>
      <c r="U26" s="668"/>
      <c r="V26" s="667"/>
      <c r="W26" s="668"/>
      <c r="X26" s="1265"/>
      <c r="Y26" s="337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2"/>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2"/>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2"/>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0" t="str">
        <f>A48</f>
        <v>成交单价（元/平方米）</v>
      </c>
      <c r="Q48" s="3366"/>
      <c r="R48" s="3367">
        <f>E48</f>
        <v>0</v>
      </c>
      <c r="S48" s="3367"/>
      <c r="T48" s="3367">
        <f>G48</f>
        <v>0</v>
      </c>
      <c r="U48" s="3367"/>
      <c r="V48" s="3367">
        <f>I48</f>
        <v>0</v>
      </c>
      <c r="W48" s="336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0"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1851.78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ht="15">
      <c r="A5" s="348"/>
      <c r="B5" s="349"/>
      <c r="C5" s="3407" t="s">
        <v>1673</v>
      </c>
      <c r="D5" s="3403"/>
      <c r="E5" s="3438" t="s">
        <v>1674</v>
      </c>
      <c r="F5" s="3411"/>
      <c r="G5" s="3407" t="s">
        <v>1675</v>
      </c>
      <c r="H5" s="3403"/>
      <c r="I5" s="3407" t="s">
        <v>1676</v>
      </c>
      <c r="J5" s="3403"/>
      <c r="K5" s="537"/>
      <c r="L5" s="860"/>
      <c r="M5" s="861"/>
      <c r="N5" s="861"/>
      <c r="O5" s="861"/>
      <c r="P5" s="3390"/>
      <c r="Q5" s="3391"/>
      <c r="R5" s="3396"/>
      <c r="S5" s="3397"/>
      <c r="T5" s="3396"/>
      <c r="U5" s="3397"/>
      <c r="V5" s="3367"/>
      <c r="W5" s="3367"/>
      <c r="X5" s="1265"/>
      <c r="Y5" s="3396"/>
      <c r="Z5" s="3397"/>
      <c r="AA5" s="3382"/>
      <c r="AB5" s="3382"/>
      <c r="AC5" s="3382"/>
    </row>
    <row r="6" spans="1:29" ht="15.75" thickBot="1">
      <c r="A6" s="350"/>
      <c r="B6" s="351"/>
      <c r="C6" s="3400" t="s">
        <v>1677</v>
      </c>
      <c r="D6" s="3401"/>
      <c r="E6" s="3408" t="s">
        <v>1677</v>
      </c>
      <c r="F6" s="3409"/>
      <c r="G6" s="3400" t="s">
        <v>1677</v>
      </c>
      <c r="H6" s="3401"/>
      <c r="I6" s="3400" t="s">
        <v>1677</v>
      </c>
      <c r="J6" s="3401"/>
      <c r="K6" s="537" t="s">
        <v>1678</v>
      </c>
      <c r="L6" s="860"/>
      <c r="M6" s="861"/>
      <c r="N6" s="861"/>
      <c r="O6" s="861"/>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ht="15">
      <c r="A5" s="348"/>
      <c r="B5" s="349"/>
      <c r="C5" s="3407" t="s">
        <v>1673</v>
      </c>
      <c r="D5" s="3403"/>
      <c r="E5" s="3438" t="s">
        <v>1674</v>
      </c>
      <c r="F5" s="3411"/>
      <c r="G5" s="3407" t="s">
        <v>1675</v>
      </c>
      <c r="H5" s="3403"/>
      <c r="I5" s="3407" t="s">
        <v>1676</v>
      </c>
      <c r="J5" s="3403"/>
      <c r="K5" s="537"/>
      <c r="L5" s="2487"/>
      <c r="M5" s="2488"/>
      <c r="N5" s="2488"/>
      <c r="O5" s="2488"/>
      <c r="P5" s="3390"/>
      <c r="Q5" s="3391"/>
      <c r="R5" s="3396"/>
      <c r="S5" s="3397"/>
      <c r="T5" s="3396"/>
      <c r="U5" s="3397"/>
      <c r="V5" s="3367"/>
      <c r="W5" s="3367"/>
      <c r="X5" s="1265"/>
      <c r="Y5" s="3396"/>
      <c r="Z5" s="3397"/>
      <c r="AA5" s="3382"/>
      <c r="AB5" s="3382"/>
      <c r="AC5" s="3382"/>
    </row>
    <row r="6" spans="1:29" ht="15.75" thickBot="1">
      <c r="A6" s="350"/>
      <c r="B6" s="351"/>
      <c r="C6" s="3400" t="s">
        <v>1677</v>
      </c>
      <c r="D6" s="3401"/>
      <c r="E6" s="3408" t="s">
        <v>1677</v>
      </c>
      <c r="F6" s="3409"/>
      <c r="G6" s="3400" t="s">
        <v>1677</v>
      </c>
      <c r="H6" s="3401"/>
      <c r="I6" s="3400" t="s">
        <v>1677</v>
      </c>
      <c r="J6" s="3401"/>
      <c r="K6" s="537" t="s">
        <v>1678</v>
      </c>
      <c r="L6" s="2487"/>
      <c r="M6" s="2488"/>
      <c r="N6" s="2488"/>
      <c r="O6" s="2488"/>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4"/>
      <c r="Q15" s="1263"/>
      <c r="R15" s="667"/>
      <c r="S15" s="668"/>
      <c r="T15" s="667"/>
      <c r="U15" s="668"/>
      <c r="V15" s="667"/>
      <c r="W15" s="668"/>
      <c r="X15" s="1265"/>
      <c r="Y15" s="337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4"/>
      <c r="Q17" s="1263"/>
      <c r="R17" s="667"/>
      <c r="S17" s="668"/>
      <c r="T17" s="667"/>
      <c r="U17" s="668"/>
      <c r="V17" s="667"/>
      <c r="W17" s="668"/>
      <c r="X17" s="1265"/>
      <c r="Y17" s="337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4"/>
      <c r="Q19" s="1263"/>
      <c r="R19" s="667"/>
      <c r="S19" s="668"/>
      <c r="T19" s="667"/>
      <c r="U19" s="668"/>
      <c r="V19" s="667"/>
      <c r="W19" s="668"/>
      <c r="X19" s="1265"/>
      <c r="Y19" s="337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66" t="str">
        <f>A37</f>
        <v>成交单价</v>
      </c>
      <c r="Q37" s="3366"/>
      <c r="R37" s="3367">
        <f>E37</f>
        <v>0</v>
      </c>
      <c r="S37" s="3367"/>
      <c r="T37" s="3367">
        <f>G37</f>
        <v>0</v>
      </c>
      <c r="U37" s="3367"/>
      <c r="V37" s="3367">
        <f>I37</f>
        <v>0</v>
      </c>
      <c r="W37" s="336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8" t="str">
        <f>A39</f>
        <v>估价对象XX用房的比较价值（楼面单价，元/平方米）</v>
      </c>
      <c r="Q39" s="3369"/>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ht="15">
      <c r="A5" s="348"/>
      <c r="B5" s="349"/>
      <c r="C5" s="3407" t="s">
        <v>1673</v>
      </c>
      <c r="D5" s="3403"/>
      <c r="E5" s="3438" t="s">
        <v>1674</v>
      </c>
      <c r="F5" s="3411"/>
      <c r="G5" s="3407" t="s">
        <v>1675</v>
      </c>
      <c r="H5" s="3403"/>
      <c r="I5" s="3407" t="s">
        <v>1676</v>
      </c>
      <c r="J5" s="3403"/>
      <c r="K5" s="537"/>
      <c r="L5" s="2487"/>
      <c r="M5" s="2488"/>
      <c r="N5" s="2488"/>
      <c r="O5" s="2488"/>
      <c r="P5" s="3390"/>
      <c r="Q5" s="3391"/>
      <c r="R5" s="3396"/>
      <c r="S5" s="3397"/>
      <c r="T5" s="3396"/>
      <c r="U5" s="3397"/>
      <c r="V5" s="3367"/>
      <c r="W5" s="3367"/>
      <c r="X5" s="1265"/>
      <c r="Y5" s="3396"/>
      <c r="Z5" s="3397"/>
      <c r="AA5" s="3382"/>
      <c r="AB5" s="3382"/>
      <c r="AC5" s="3382"/>
    </row>
    <row r="6" spans="1:29" ht="15.75" thickBot="1">
      <c r="A6" s="350"/>
      <c r="B6" s="351"/>
      <c r="C6" s="3400" t="s">
        <v>1677</v>
      </c>
      <c r="D6" s="3401"/>
      <c r="E6" s="3408" t="s">
        <v>1677</v>
      </c>
      <c r="F6" s="3409"/>
      <c r="G6" s="3400" t="s">
        <v>1677</v>
      </c>
      <c r="H6" s="3401"/>
      <c r="I6" s="3400" t="s">
        <v>1677</v>
      </c>
      <c r="J6" s="3401"/>
      <c r="K6" s="537" t="s">
        <v>1678</v>
      </c>
      <c r="L6" s="2487"/>
      <c r="M6" s="2488"/>
      <c r="N6" s="2488"/>
      <c r="O6" s="2488"/>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6"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6"/>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4"/>
      <c r="Q15" s="1263"/>
      <c r="R15" s="667"/>
      <c r="S15" s="668"/>
      <c r="T15" s="667"/>
      <c r="U15" s="668"/>
      <c r="V15" s="667"/>
      <c r="W15" s="668"/>
      <c r="X15" s="1265"/>
      <c r="Y15" s="337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4"/>
      <c r="Q17" s="1263"/>
      <c r="R17" s="667"/>
      <c r="S17" s="668"/>
      <c r="T17" s="667"/>
      <c r="U17" s="668"/>
      <c r="V17" s="667"/>
      <c r="W17" s="668"/>
      <c r="X17" s="1265"/>
      <c r="Y17" s="337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4"/>
      <c r="Q19" s="1263"/>
      <c r="R19" s="667"/>
      <c r="S19" s="668"/>
      <c r="T19" s="667"/>
      <c r="U19" s="668"/>
      <c r="V19" s="667"/>
      <c r="W19" s="668"/>
      <c r="X19" s="1265"/>
      <c r="Y19" s="337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8" t="str">
        <f>A37</f>
        <v>估价对象XX用房的比较价值（楼面单价，元/平方米）</v>
      </c>
      <c r="Q37" s="3369"/>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ht="15">
      <c r="A5" s="348"/>
      <c r="B5" s="349"/>
      <c r="C5" s="3407" t="s">
        <v>1673</v>
      </c>
      <c r="D5" s="3403"/>
      <c r="E5" s="3438" t="s">
        <v>1674</v>
      </c>
      <c r="F5" s="3411"/>
      <c r="G5" s="3407" t="s">
        <v>1675</v>
      </c>
      <c r="H5" s="3403"/>
      <c r="I5" s="3407" t="s">
        <v>1676</v>
      </c>
      <c r="J5" s="3403"/>
      <c r="K5" s="537"/>
      <c r="L5" s="2487"/>
      <c r="M5" s="2488"/>
      <c r="N5" s="2488"/>
      <c r="O5" s="2488"/>
      <c r="P5" s="3390"/>
      <c r="Q5" s="3391"/>
      <c r="R5" s="3396"/>
      <c r="S5" s="3397"/>
      <c r="T5" s="3396"/>
      <c r="U5" s="3397"/>
      <c r="V5" s="3367"/>
      <c r="W5" s="3367"/>
      <c r="X5" s="1265"/>
      <c r="Y5" s="3396"/>
      <c r="Z5" s="3397"/>
      <c r="AA5" s="3382"/>
      <c r="AB5" s="3382"/>
      <c r="AC5" s="3382"/>
    </row>
    <row r="6" spans="1:29" ht="15.75" thickBot="1">
      <c r="A6" s="350"/>
      <c r="B6" s="351"/>
      <c r="C6" s="3400" t="s">
        <v>1677</v>
      </c>
      <c r="D6" s="3401"/>
      <c r="E6" s="3408" t="s">
        <v>1677</v>
      </c>
      <c r="F6" s="3409"/>
      <c r="G6" s="3400" t="s">
        <v>1677</v>
      </c>
      <c r="H6" s="3401"/>
      <c r="I6" s="3400" t="s">
        <v>1677</v>
      </c>
      <c r="J6" s="3401"/>
      <c r="K6" s="537" t="s">
        <v>1678</v>
      </c>
      <c r="L6" s="2487"/>
      <c r="M6" s="2488"/>
      <c r="N6" s="2488"/>
      <c r="O6" s="2488"/>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142</v>
      </c>
      <c r="G10" s="402"/>
      <c r="H10" s="119">
        <f>ROUND(100/'数据-取费表'!G16,0)</f>
        <v>142</v>
      </c>
      <c r="I10" s="402"/>
      <c r="J10" s="119">
        <f>ROUND(100/'数据-取费表'!G16,0)</f>
        <v>142</v>
      </c>
      <c r="K10" s="592"/>
      <c r="L10" s="2490"/>
      <c r="M10" s="2491"/>
      <c r="N10" s="2491"/>
      <c r="O10" s="2542"/>
      <c r="P10" s="3366"/>
      <c r="Q10" s="530" t="str">
        <f t="shared" si="6"/>
        <v>土地使用年限（年）</v>
      </c>
      <c r="R10" s="664" t="s">
        <v>14</v>
      </c>
      <c r="S10" s="665">
        <f t="shared" si="0"/>
        <v>142</v>
      </c>
      <c r="T10" s="664" t="s">
        <v>14</v>
      </c>
      <c r="U10" s="665">
        <f t="shared" si="1"/>
        <v>142</v>
      </c>
      <c r="V10" s="664" t="s">
        <v>14</v>
      </c>
      <c r="W10" s="665">
        <f t="shared" si="2"/>
        <v>142</v>
      </c>
      <c r="X10" s="666"/>
      <c r="Y10" s="3251"/>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6"/>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4"/>
      <c r="Q16" s="1263"/>
      <c r="R16" s="667"/>
      <c r="S16" s="668"/>
      <c r="T16" s="667"/>
      <c r="U16" s="668"/>
      <c r="V16" s="667"/>
      <c r="W16" s="668"/>
      <c r="X16" s="1265"/>
      <c r="Y16" s="337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4"/>
      <c r="Q18" s="1263"/>
      <c r="R18" s="667"/>
      <c r="S18" s="668"/>
      <c r="T18" s="667"/>
      <c r="U18" s="668"/>
      <c r="V18" s="667"/>
      <c r="W18" s="668"/>
      <c r="X18" s="1265"/>
      <c r="Y18" s="337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4"/>
      <c r="Q20" s="1263"/>
      <c r="R20" s="667"/>
      <c r="S20" s="668"/>
      <c r="T20" s="667"/>
      <c r="U20" s="668"/>
      <c r="V20" s="667"/>
      <c r="W20" s="668"/>
      <c r="X20" s="1265"/>
      <c r="Y20" s="337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4"/>
      <c r="Q22" s="1263"/>
      <c r="R22" s="667"/>
      <c r="S22" s="668"/>
      <c r="T22" s="667"/>
      <c r="U22" s="668"/>
      <c r="V22" s="667"/>
      <c r="W22" s="668"/>
      <c r="X22" s="1265"/>
      <c r="Y22" s="337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4"/>
      <c r="Q24" s="1263"/>
      <c r="R24" s="667"/>
      <c r="S24" s="668"/>
      <c r="T24" s="667"/>
      <c r="U24" s="668"/>
      <c r="V24" s="667"/>
      <c r="W24" s="668"/>
      <c r="X24" s="1265"/>
      <c r="Y24" s="337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4"/>
      <c r="Q26" s="1263"/>
      <c r="R26" s="667"/>
      <c r="S26" s="668"/>
      <c r="T26" s="667"/>
      <c r="U26" s="668"/>
      <c r="V26" s="667"/>
      <c r="W26" s="668"/>
      <c r="X26" s="1265"/>
      <c r="Y26" s="337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4"/>
      <c r="Q28" s="530"/>
      <c r="R28" s="664"/>
      <c r="S28" s="665"/>
      <c r="T28" s="664"/>
      <c r="U28" s="665"/>
      <c r="V28" s="664"/>
      <c r="W28" s="665"/>
      <c r="X28" s="666"/>
      <c r="Y28" s="337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4"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6" t="str">
        <f>A46</f>
        <v>成交单价</v>
      </c>
      <c r="Q46" s="3366"/>
      <c r="R46" s="3367">
        <f>E46</f>
        <v>0</v>
      </c>
      <c r="S46" s="3367"/>
      <c r="T46" s="3367">
        <f>G46</f>
        <v>0</v>
      </c>
      <c r="U46" s="3367"/>
      <c r="V46" s="3367">
        <f>I46</f>
        <v>0</v>
      </c>
      <c r="W46" s="336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6" t="str">
        <f>A47</f>
        <v>比较价值（元/平方米）</v>
      </c>
      <c r="Q47" s="3366"/>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8" t="str">
        <f>A48</f>
        <v>估价对象XX用房的比较价值（楼面单价，元/平方米）</v>
      </c>
      <c r="Q48" s="3369"/>
      <c r="R48" s="3457" t="e">
        <f>ROUND(IF(D47="简单平均",AVERAGE(R47:W47),R47*F47+T47*H47+V47*J47),0)</f>
        <v>#DIV/0!</v>
      </c>
      <c r="S48" s="3457"/>
      <c r="T48" s="3457"/>
      <c r="U48" s="3457"/>
      <c r="V48" s="3457"/>
      <c r="W48" s="345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4" t="s">
        <v>1887</v>
      </c>
      <c r="H55" s="345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1851.78</v>
      </c>
      <c r="F56" s="833" t="e">
        <f t="shared" ref="F56:F64" si="15">ROUND(B56*E56/10000,0)</f>
        <v>#DIV/0!</v>
      </c>
      <c r="G56" s="3380"/>
      <c r="H56" s="3366"/>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四级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四级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四级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1851.78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7"/>
      <c r="M4" s="2488"/>
      <c r="N4" s="2488"/>
      <c r="O4" s="2488"/>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ht="15">
      <c r="A5" s="348"/>
      <c r="B5" s="349"/>
      <c r="C5" s="3407" t="s">
        <v>1673</v>
      </c>
      <c r="D5" s="3403"/>
      <c r="E5" s="3438" t="s">
        <v>1674</v>
      </c>
      <c r="F5" s="3411"/>
      <c r="G5" s="3407" t="s">
        <v>1675</v>
      </c>
      <c r="H5" s="3403"/>
      <c r="I5" s="3407" t="s">
        <v>1676</v>
      </c>
      <c r="J5" s="3403"/>
      <c r="K5" s="537"/>
      <c r="L5" s="2487"/>
      <c r="M5" s="2488"/>
      <c r="N5" s="2488"/>
      <c r="O5" s="2488"/>
      <c r="P5" s="3390"/>
      <c r="Q5" s="3391"/>
      <c r="R5" s="3396"/>
      <c r="S5" s="3397"/>
      <c r="T5" s="3396"/>
      <c r="U5" s="3397"/>
      <c r="V5" s="3367"/>
      <c r="W5" s="3367"/>
      <c r="X5" s="1265"/>
      <c r="Y5" s="3396"/>
      <c r="Z5" s="3397"/>
      <c r="AA5" s="3382"/>
      <c r="AB5" s="3382"/>
      <c r="AC5" s="3382"/>
    </row>
    <row r="6" spans="1:29" ht="15.75" thickBot="1">
      <c r="A6" s="350"/>
      <c r="B6" s="351"/>
      <c r="C6" s="3459" t="s">
        <v>1919</v>
      </c>
      <c r="D6" s="3460"/>
      <c r="E6" s="3461" t="s">
        <v>1919</v>
      </c>
      <c r="F6" s="3462"/>
      <c r="G6" s="3459" t="s">
        <v>1919</v>
      </c>
      <c r="H6" s="3460"/>
      <c r="I6" s="3459" t="s">
        <v>1919</v>
      </c>
      <c r="J6" s="3460"/>
      <c r="K6" s="537" t="s">
        <v>1678</v>
      </c>
      <c r="L6" s="2487"/>
      <c r="M6" s="2488"/>
      <c r="N6" s="2488"/>
      <c r="O6" s="2488"/>
      <c r="P6" s="3392"/>
      <c r="Q6" s="3393"/>
      <c r="R6" s="3396"/>
      <c r="S6" s="3397"/>
      <c r="T6" s="3398"/>
      <c r="U6" s="3399"/>
      <c r="V6" s="3367"/>
      <c r="W6" s="3367"/>
      <c r="X6" s="1265"/>
      <c r="Y6" s="3398"/>
      <c r="Z6" s="3399"/>
      <c r="AA6" s="3383"/>
      <c r="AB6" s="3383"/>
      <c r="AC6" s="3383"/>
    </row>
    <row r="7" spans="1:29" s="102" customFormat="1" ht="15.75" thickBot="1">
      <c r="A7" s="352" t="s">
        <v>1679</v>
      </c>
      <c r="B7" s="353"/>
      <c r="C7" s="354">
        <f>'数据-取费表'!B2</f>
        <v>45708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142</v>
      </c>
      <c r="G10" s="371"/>
      <c r="H10" s="119">
        <f>ROUND(100/'数据-取费表'!G16,0)</f>
        <v>142</v>
      </c>
      <c r="I10" s="371"/>
      <c r="J10" s="119">
        <f>ROUND(100/'数据-取费表'!G16,0)</f>
        <v>142</v>
      </c>
      <c r="K10" s="592"/>
      <c r="L10" s="2490"/>
      <c r="M10" s="2491"/>
      <c r="N10" s="2491"/>
      <c r="O10" s="2542"/>
      <c r="P10" s="3366"/>
      <c r="Q10" s="530" t="str">
        <f t="shared" si="6"/>
        <v>土地使用年限（年）</v>
      </c>
      <c r="R10" s="664" t="s">
        <v>14</v>
      </c>
      <c r="S10" s="665">
        <f t="shared" si="0"/>
        <v>142</v>
      </c>
      <c r="T10" s="664" t="s">
        <v>14</v>
      </c>
      <c r="U10" s="665">
        <f t="shared" si="1"/>
        <v>142</v>
      </c>
      <c r="V10" s="664" t="s">
        <v>14</v>
      </c>
      <c r="W10" s="665">
        <f t="shared" si="2"/>
        <v>142</v>
      </c>
      <c r="X10" s="666"/>
      <c r="Y10" s="3251"/>
      <c r="Z10" s="50" t="str">
        <f t="shared" si="7"/>
        <v>土地使用年限（年）</v>
      </c>
      <c r="AA10" s="50">
        <f t="shared" si="3"/>
        <v>0.70422535211267601</v>
      </c>
      <c r="AB10" s="50">
        <f t="shared" si="4"/>
        <v>0.70422535211267601</v>
      </c>
      <c r="AC10" s="50">
        <f t="shared" si="5"/>
        <v>0.70422535211267601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4"/>
      <c r="Q16" s="1263"/>
      <c r="R16" s="667"/>
      <c r="S16" s="668"/>
      <c r="T16" s="667"/>
      <c r="U16" s="668"/>
      <c r="V16" s="667"/>
      <c r="W16" s="668"/>
      <c r="X16" s="1265"/>
      <c r="Y16" s="337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4"/>
      <c r="Q18" s="1263"/>
      <c r="R18" s="667"/>
      <c r="S18" s="668"/>
      <c r="T18" s="667"/>
      <c r="U18" s="668"/>
      <c r="V18" s="667"/>
      <c r="W18" s="668"/>
      <c r="X18" s="1265"/>
      <c r="Y18" s="337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4"/>
      <c r="Q20" s="1263"/>
      <c r="R20" s="667"/>
      <c r="S20" s="668"/>
      <c r="T20" s="667"/>
      <c r="U20" s="668"/>
      <c r="V20" s="667"/>
      <c r="W20" s="668"/>
      <c r="X20" s="1265"/>
      <c r="Y20" s="337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4"/>
      <c r="Q22" s="1263"/>
      <c r="R22" s="667"/>
      <c r="S22" s="668"/>
      <c r="T22" s="667"/>
      <c r="U22" s="668"/>
      <c r="V22" s="667"/>
      <c r="W22" s="668"/>
      <c r="X22" s="1265"/>
      <c r="Y22" s="337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4"/>
      <c r="Q24" s="530"/>
      <c r="R24" s="664"/>
      <c r="S24" s="665"/>
      <c r="T24" s="664"/>
      <c r="U24" s="665"/>
      <c r="V24" s="664"/>
      <c r="W24" s="665"/>
      <c r="X24" s="666"/>
      <c r="Y24" s="337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4"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6" t="str">
        <f>A41</f>
        <v>成交单价</v>
      </c>
      <c r="Q41" s="3366"/>
      <c r="R41" s="3367">
        <f>E41</f>
        <v>0</v>
      </c>
      <c r="S41" s="3367"/>
      <c r="T41" s="3367">
        <f>G41</f>
        <v>0</v>
      </c>
      <c r="U41" s="3367"/>
      <c r="V41" s="3367">
        <f>I41</f>
        <v>0</v>
      </c>
      <c r="W41" s="336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6" t="str">
        <f>A42</f>
        <v>比较价值（元/平方米）</v>
      </c>
      <c r="Q42" s="3366"/>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8" t="str">
        <f>A43</f>
        <v>估价对象XX用房的比较价值（楼面单价，元/平方米）</v>
      </c>
      <c r="Q43" s="3369"/>
      <c r="R43" s="3457" t="e">
        <f>ROUND(IF(D42="简单平均",AVERAGE(R42:W42),R42*F42+T42*H42+V42*J42),0)</f>
        <v>#DIV/0!</v>
      </c>
      <c r="S43" s="3457"/>
      <c r="T43" s="3457"/>
      <c r="U43" s="3457"/>
      <c r="V43" s="3457"/>
      <c r="W43" s="345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4" t="s">
        <v>1887</v>
      </c>
      <c r="H50" s="345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1851.78</v>
      </c>
      <c r="F51" s="611" t="e">
        <f t="shared" ref="F51:F60" si="15">ROUND(B51*E51/10000,0)</f>
        <v>#DIV/0!</v>
      </c>
      <c r="G51" s="3380"/>
      <c r="H51" s="3366"/>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四级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四级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四级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2798</v>
      </c>
      <c r="C2" s="1984" t="s">
        <v>2074</v>
      </c>
      <c r="D2" s="1984" t="s">
        <v>2075</v>
      </c>
      <c r="E2" s="2398">
        <f ca="1">SUMIF(E6:E13,"&lt;&gt;#ref!",E6:E13)</f>
        <v>1851.78</v>
      </c>
      <c r="F2" s="2545"/>
      <c r="G2" s="2545"/>
      <c r="H2" s="2545"/>
      <c r="I2" s="2545"/>
      <c r="J2" s="2545"/>
      <c r="K2" s="2545"/>
      <c r="L2" s="2545"/>
      <c r="M2" s="2545"/>
      <c r="N2" s="2545"/>
      <c r="O2" s="2545"/>
      <c r="P2" s="2545"/>
    </row>
    <row r="3" spans="1:16" ht="15.75">
      <c r="A3" s="1984" t="s">
        <v>2076</v>
      </c>
      <c r="B3" s="2388">
        <f ca="1">ROUND(B2*10000/E2,0)</f>
        <v>15110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2798</v>
      </c>
      <c r="C6" s="1984" t="s">
        <v>2074</v>
      </c>
      <c r="D6" s="2545"/>
      <c r="E6" s="2398">
        <f ca="1">SUMIF(INDIRECT("'"&amp;A6&amp;"'"&amp;"!C:C"),"建筑面积",INDIRECT("'"&amp;A6&amp;"'"&amp;"!D:D"))</f>
        <v>1851.78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8" t="s">
        <v>2598</v>
      </c>
      <c r="B20" s="3473" t="s">
        <v>2619</v>
      </c>
      <c r="C20" s="2843" t="s">
        <v>2430</v>
      </c>
      <c r="D20" s="2844"/>
      <c r="E20" s="2845">
        <v>1</v>
      </c>
      <c r="F20" s="2846" t="s">
        <v>2431</v>
      </c>
      <c r="G20" s="2846"/>
    </row>
    <row r="21" spans="1:13" ht="19.5" customHeight="1">
      <c r="A21" s="3479"/>
      <c r="B21" s="3472"/>
      <c r="C21" s="2847" t="s">
        <v>2432</v>
      </c>
      <c r="D21" s="2848"/>
      <c r="E21" s="2849">
        <v>1</v>
      </c>
      <c r="F21" s="2846" t="s">
        <v>2433</v>
      </c>
      <c r="G21" s="2846"/>
    </row>
    <row r="22" spans="1:13" ht="19.5" customHeight="1">
      <c r="A22" s="3479"/>
      <c r="B22" s="3472"/>
      <c r="C22" s="2847" t="s">
        <v>2434</v>
      </c>
      <c r="D22" s="2848"/>
      <c r="E22" s="2849">
        <v>0.9</v>
      </c>
      <c r="F22" s="2846" t="s">
        <v>2435</v>
      </c>
      <c r="G22" s="2846"/>
    </row>
    <row r="23" spans="1:13" ht="19.5" customHeight="1">
      <c r="A23" s="3479"/>
      <c r="B23" s="3472"/>
      <c r="C23" s="2847" t="s">
        <v>2436</v>
      </c>
      <c r="D23" s="2848"/>
      <c r="E23" s="2849">
        <v>0.9</v>
      </c>
      <c r="F23" s="2846" t="s">
        <v>2437</v>
      </c>
      <c r="G23" s="2846"/>
    </row>
    <row r="24" spans="1:13" ht="19.5" customHeight="1">
      <c r="A24" s="3479"/>
      <c r="B24" s="3472"/>
      <c r="C24" s="2847" t="s">
        <v>2438</v>
      </c>
      <c r="D24" s="2848"/>
      <c r="E24" s="2849">
        <v>0.8</v>
      </c>
      <c r="F24" s="2846" t="s">
        <v>2439</v>
      </c>
      <c r="G24" s="2846"/>
    </row>
    <row r="25" spans="1:13" ht="19.5" customHeight="1" thickBot="1">
      <c r="A25" s="3480"/>
      <c r="B25" s="347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5" t="s">
        <v>2622</v>
      </c>
      <c r="B27" s="3473" t="s">
        <v>2603</v>
      </c>
      <c r="C27" s="2843" t="s">
        <v>2443</v>
      </c>
      <c r="D27" s="2844"/>
      <c r="E27" s="2845">
        <v>1</v>
      </c>
      <c r="F27" s="2846" t="s">
        <v>2444</v>
      </c>
      <c r="G27" s="2846"/>
    </row>
    <row r="28" spans="1:13" ht="19.5" customHeight="1">
      <c r="A28" s="3476"/>
      <c r="B28" s="3472"/>
      <c r="C28" s="2847" t="s">
        <v>2445</v>
      </c>
      <c r="D28" s="2848"/>
      <c r="E28" s="2849">
        <v>1</v>
      </c>
      <c r="F28" s="2846" t="s">
        <v>2446</v>
      </c>
      <c r="G28" s="2846"/>
    </row>
    <row r="29" spans="1:13" ht="19.5" customHeight="1">
      <c r="A29" s="3476"/>
      <c r="B29" s="3472"/>
      <c r="C29" s="2847" t="s">
        <v>2447</v>
      </c>
      <c r="D29" s="2848"/>
      <c r="E29" s="2849">
        <v>0.8</v>
      </c>
      <c r="F29" s="2846" t="s">
        <v>2448</v>
      </c>
      <c r="G29" s="2846"/>
    </row>
    <row r="30" spans="1:13" ht="19.5" customHeight="1">
      <c r="A30" s="3476"/>
      <c r="B30" s="3472"/>
      <c r="C30" s="2847" t="s">
        <v>2449</v>
      </c>
      <c r="D30" s="2848"/>
      <c r="E30" s="2849">
        <v>0.8</v>
      </c>
      <c r="F30" s="2846" t="s">
        <v>2450</v>
      </c>
      <c r="G30" s="2846"/>
    </row>
    <row r="31" spans="1:13" ht="19.5" customHeight="1">
      <c r="A31" s="3476"/>
      <c r="B31" s="3472"/>
      <c r="C31" s="2847" t="s">
        <v>2451</v>
      </c>
      <c r="D31" s="2848"/>
      <c r="E31" s="2849">
        <v>0.8</v>
      </c>
      <c r="F31" s="2846" t="s">
        <v>2452</v>
      </c>
      <c r="G31" s="2846"/>
    </row>
    <row r="32" spans="1:13" ht="19.5" customHeight="1">
      <c r="A32" s="3476"/>
      <c r="B32" s="3472"/>
      <c r="C32" s="2847" t="s">
        <v>2453</v>
      </c>
      <c r="D32" s="2848"/>
      <c r="E32" s="2849">
        <v>0.7</v>
      </c>
      <c r="F32" s="2846" t="s">
        <v>2454</v>
      </c>
      <c r="G32" s="2846"/>
    </row>
    <row r="33" spans="1:7" ht="19.5" customHeight="1">
      <c r="A33" s="3476"/>
      <c r="B33" s="3472"/>
      <c r="C33" s="2847" t="s">
        <v>2455</v>
      </c>
      <c r="D33" s="2848"/>
      <c r="E33" s="2849">
        <v>0.8</v>
      </c>
      <c r="F33" s="2846" t="s">
        <v>2456</v>
      </c>
      <c r="G33" s="2846"/>
    </row>
    <row r="34" spans="1:7" ht="19.5" customHeight="1">
      <c r="A34" s="3476"/>
      <c r="B34" s="3472"/>
      <c r="C34" s="2847" t="s">
        <v>2457</v>
      </c>
      <c r="D34" s="2848"/>
      <c r="E34" s="2849">
        <v>0.6</v>
      </c>
      <c r="F34" s="2846" t="s">
        <v>2458</v>
      </c>
      <c r="G34" s="2846"/>
    </row>
    <row r="35" spans="1:7" ht="19.5" customHeight="1">
      <c r="A35" s="3476"/>
      <c r="B35" s="3472"/>
      <c r="C35" s="2847" t="s">
        <v>2459</v>
      </c>
      <c r="D35" s="2848"/>
      <c r="E35" s="2849">
        <v>0.2</v>
      </c>
      <c r="F35" s="2846" t="s">
        <v>2460</v>
      </c>
      <c r="G35" s="2846"/>
    </row>
    <row r="36" spans="1:7" ht="19.5" customHeight="1">
      <c r="A36" s="3476"/>
      <c r="B36" s="3472"/>
      <c r="C36" s="2847" t="s">
        <v>2461</v>
      </c>
      <c r="D36" s="2848"/>
      <c r="E36" s="2849">
        <v>0.2</v>
      </c>
      <c r="F36" s="2846" t="s">
        <v>2462</v>
      </c>
      <c r="G36" s="2846"/>
    </row>
    <row r="37" spans="1:7" ht="19.5" customHeight="1">
      <c r="A37" s="3476"/>
      <c r="B37" s="3470" t="s">
        <v>2623</v>
      </c>
      <c r="C37" s="2847" t="s">
        <v>2463</v>
      </c>
      <c r="D37" s="2848"/>
      <c r="E37" s="2849">
        <v>0.6</v>
      </c>
      <c r="F37" s="2846" t="s">
        <v>2464</v>
      </c>
      <c r="G37" s="2846"/>
    </row>
    <row r="38" spans="1:7" ht="19.5" customHeight="1">
      <c r="A38" s="3476"/>
      <c r="B38" s="3472"/>
      <c r="C38" s="2847" t="s">
        <v>2465</v>
      </c>
      <c r="D38" s="2848"/>
      <c r="E38" s="2849">
        <v>0.6</v>
      </c>
      <c r="F38" s="2846" t="s">
        <v>2466</v>
      </c>
      <c r="G38" s="2846"/>
    </row>
    <row r="39" spans="1:7" ht="19.5" customHeight="1" thickBot="1">
      <c r="A39" s="3477"/>
      <c r="B39" s="347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8" t="s">
        <v>2601</v>
      </c>
      <c r="B41" s="3473" t="s">
        <v>2625</v>
      </c>
      <c r="C41" s="2843" t="s">
        <v>2470</v>
      </c>
      <c r="D41" s="2844"/>
      <c r="E41" s="2845">
        <v>1</v>
      </c>
      <c r="F41" s="2846" t="s">
        <v>2471</v>
      </c>
      <c r="G41" s="2846"/>
    </row>
    <row r="42" spans="1:7" ht="19.5" customHeight="1">
      <c r="A42" s="3479"/>
      <c r="B42" s="3472"/>
      <c r="C42" s="2847" t="s">
        <v>2472</v>
      </c>
      <c r="D42" s="2848"/>
      <c r="E42" s="2849">
        <v>1</v>
      </c>
      <c r="F42" s="2846" t="s">
        <v>2473</v>
      </c>
      <c r="G42" s="2846"/>
    </row>
    <row r="43" spans="1:7" ht="19.5" customHeight="1">
      <c r="A43" s="3479"/>
      <c r="B43" s="3471"/>
      <c r="C43" s="2847" t="s">
        <v>2474</v>
      </c>
      <c r="D43" s="2848"/>
      <c r="E43" s="2849">
        <v>1.5</v>
      </c>
      <c r="F43" s="2846" t="s">
        <v>2475</v>
      </c>
      <c r="G43" s="2846"/>
    </row>
    <row r="44" spans="1:7" ht="19.5" customHeight="1">
      <c r="A44" s="3479"/>
      <c r="B44" s="2858" t="s">
        <v>2626</v>
      </c>
      <c r="C44" s="2847" t="s">
        <v>2627</v>
      </c>
      <c r="D44" s="2848"/>
      <c r="E44" s="2849">
        <v>2</v>
      </c>
      <c r="F44" s="2846" t="s">
        <v>2476</v>
      </c>
      <c r="G44" s="2846"/>
    </row>
    <row r="45" spans="1:7" ht="19.5" customHeight="1">
      <c r="A45" s="3479"/>
      <c r="B45" s="3470" t="s">
        <v>2628</v>
      </c>
      <c r="C45" s="2847" t="s">
        <v>2477</v>
      </c>
      <c r="D45" s="2848"/>
      <c r="E45" s="2849">
        <v>1</v>
      </c>
      <c r="F45" s="2846" t="s">
        <v>2478</v>
      </c>
      <c r="G45" s="2846"/>
    </row>
    <row r="46" spans="1:7" ht="19.5" customHeight="1">
      <c r="A46" s="3479"/>
      <c r="B46" s="3472"/>
      <c r="C46" s="2847" t="s">
        <v>2479</v>
      </c>
      <c r="D46" s="2848"/>
      <c r="E46" s="2849">
        <v>1</v>
      </c>
      <c r="F46" s="2846" t="s">
        <v>2480</v>
      </c>
      <c r="G46" s="2846"/>
    </row>
    <row r="47" spans="1:7" ht="19.5" customHeight="1">
      <c r="A47" s="3479"/>
      <c r="B47" s="3472"/>
      <c r="C47" s="2847" t="s">
        <v>2481</v>
      </c>
      <c r="D47" s="2848"/>
      <c r="E47" s="2849">
        <v>1</v>
      </c>
      <c r="F47" s="2846" t="s">
        <v>2482</v>
      </c>
      <c r="G47" s="2846"/>
    </row>
    <row r="48" spans="1:7" ht="19.5" customHeight="1">
      <c r="A48" s="3479"/>
      <c r="B48" s="3472"/>
      <c r="C48" s="2847" t="s">
        <v>2483</v>
      </c>
      <c r="D48" s="2848"/>
      <c r="E48" s="2849">
        <v>1</v>
      </c>
      <c r="F48" s="2846" t="s">
        <v>2484</v>
      </c>
      <c r="G48" s="2846"/>
    </row>
    <row r="49" spans="1:7" ht="19.5" customHeight="1">
      <c r="A49" s="3479"/>
      <c r="B49" s="3472"/>
      <c r="C49" s="2847" t="s">
        <v>2485</v>
      </c>
      <c r="D49" s="2848"/>
      <c r="E49" s="2849">
        <v>1</v>
      </c>
      <c r="F49" s="2846" t="s">
        <v>2486</v>
      </c>
      <c r="G49" s="2846"/>
    </row>
    <row r="50" spans="1:7" ht="19.5" customHeight="1">
      <c r="A50" s="3479"/>
      <c r="B50" s="3472"/>
      <c r="C50" s="2847" t="s">
        <v>2487</v>
      </c>
      <c r="D50" s="2848"/>
      <c r="E50" s="2849">
        <v>1</v>
      </c>
      <c r="F50" s="2846" t="s">
        <v>2488</v>
      </c>
      <c r="G50" s="2846"/>
    </row>
    <row r="51" spans="1:7" ht="19.5" customHeight="1" thickBot="1">
      <c r="A51" s="3480"/>
      <c r="B51" s="347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0" t="s">
        <v>2642</v>
      </c>
      <c r="C73" s="2832" t="s">
        <v>2643</v>
      </c>
      <c r="D73" s="2832" t="s">
        <v>2644</v>
      </c>
      <c r="E73" s="2858">
        <v>0.2</v>
      </c>
      <c r="F73" s="2858">
        <v>25</v>
      </c>
    </row>
    <row r="74" spans="1:7" ht="24">
      <c r="A74" s="2858">
        <v>2</v>
      </c>
      <c r="B74" s="3472"/>
      <c r="C74" s="2832" t="s">
        <v>2645</v>
      </c>
      <c r="D74" s="2832" t="s">
        <v>2646</v>
      </c>
      <c r="E74" s="2858">
        <v>0.2</v>
      </c>
      <c r="F74" s="2858">
        <v>25</v>
      </c>
    </row>
    <row r="75" spans="1:7" ht="24">
      <c r="A75" s="2858">
        <v>3</v>
      </c>
      <c r="B75" s="3472"/>
      <c r="C75" s="2832" t="s">
        <v>2647</v>
      </c>
      <c r="D75" s="2832" t="s">
        <v>2648</v>
      </c>
      <c r="E75" s="2858">
        <v>0.2</v>
      </c>
      <c r="F75" s="2858">
        <v>25</v>
      </c>
    </row>
    <row r="76" spans="1:7" ht="13.5">
      <c r="A76" s="2858">
        <v>4</v>
      </c>
      <c r="B76" s="3472"/>
      <c r="C76" s="2832" t="s">
        <v>2649</v>
      </c>
      <c r="D76" s="2832" t="s">
        <v>2650</v>
      </c>
      <c r="E76" s="2858">
        <v>0.15</v>
      </c>
      <c r="F76" s="2858">
        <v>20</v>
      </c>
    </row>
    <row r="77" spans="1:7" ht="24">
      <c r="A77" s="2858">
        <v>5</v>
      </c>
      <c r="B77" s="3472"/>
      <c r="C77" s="2832" t="s">
        <v>2651</v>
      </c>
      <c r="D77" s="2832" t="s">
        <v>2652</v>
      </c>
      <c r="E77" s="2858">
        <v>0.15</v>
      </c>
      <c r="F77" s="2858">
        <v>20</v>
      </c>
    </row>
    <row r="78" spans="1:7" ht="24">
      <c r="A78" s="2858">
        <v>6</v>
      </c>
      <c r="B78" s="3472"/>
      <c r="C78" s="2832" t="s">
        <v>2653</v>
      </c>
      <c r="D78" s="2832" t="s">
        <v>2654</v>
      </c>
      <c r="E78" s="2858">
        <v>0.15</v>
      </c>
      <c r="F78" s="2858">
        <v>20</v>
      </c>
    </row>
    <row r="79" spans="1:7" ht="24">
      <c r="A79" s="2858">
        <v>7</v>
      </c>
      <c r="B79" s="3472"/>
      <c r="C79" s="2832" t="s">
        <v>2655</v>
      </c>
      <c r="D79" s="2832" t="s">
        <v>2656</v>
      </c>
      <c r="E79" s="2858">
        <v>0.15</v>
      </c>
      <c r="F79" s="2858">
        <v>20</v>
      </c>
    </row>
    <row r="80" spans="1:7" ht="24">
      <c r="A80" s="2858">
        <v>8</v>
      </c>
      <c r="B80" s="3472"/>
      <c r="C80" s="2832" t="s">
        <v>2657</v>
      </c>
      <c r="D80" s="2832" t="s">
        <v>2658</v>
      </c>
      <c r="E80" s="2858">
        <v>0.1</v>
      </c>
      <c r="F80" s="2858">
        <v>15</v>
      </c>
    </row>
    <row r="81" spans="1:6" ht="24">
      <c r="A81" s="2858">
        <v>9</v>
      </c>
      <c r="B81" s="3472"/>
      <c r="C81" s="2832" t="s">
        <v>2659</v>
      </c>
      <c r="D81" s="2832" t="s">
        <v>2660</v>
      </c>
      <c r="E81" s="2858">
        <v>0.1</v>
      </c>
      <c r="F81" s="2858">
        <v>15</v>
      </c>
    </row>
    <row r="82" spans="1:6" ht="24">
      <c r="A82" s="2858">
        <v>10</v>
      </c>
      <c r="B82" s="3472"/>
      <c r="C82" s="2832" t="s">
        <v>2661</v>
      </c>
      <c r="D82" s="2832" t="s">
        <v>2662</v>
      </c>
      <c r="E82" s="2858">
        <v>0.1</v>
      </c>
      <c r="F82" s="2858">
        <v>15</v>
      </c>
    </row>
    <row r="83" spans="1:6" ht="24">
      <c r="A83" s="2858">
        <v>11</v>
      </c>
      <c r="B83" s="3472"/>
      <c r="C83" s="2832" t="s">
        <v>2663</v>
      </c>
      <c r="D83" s="2832" t="s">
        <v>2664</v>
      </c>
      <c r="E83" s="2858">
        <v>0.1</v>
      </c>
      <c r="F83" s="2858">
        <v>15</v>
      </c>
    </row>
    <row r="84" spans="1:6" ht="24">
      <c r="A84" s="2858">
        <v>12</v>
      </c>
      <c r="B84" s="3472"/>
      <c r="C84" s="2832" t="s">
        <v>2665</v>
      </c>
      <c r="D84" s="2832" t="s">
        <v>2666</v>
      </c>
      <c r="E84" s="2858">
        <v>0.1</v>
      </c>
      <c r="F84" s="2858">
        <v>15</v>
      </c>
    </row>
    <row r="85" spans="1:6" ht="13.5">
      <c r="A85" s="2858">
        <v>13</v>
      </c>
      <c r="B85" s="3472"/>
      <c r="C85" s="2832" t="s">
        <v>2667</v>
      </c>
      <c r="D85" s="2832" t="s">
        <v>2668</v>
      </c>
      <c r="E85" s="2858">
        <v>0.1</v>
      </c>
      <c r="F85" s="2858">
        <v>15</v>
      </c>
    </row>
    <row r="86" spans="1:6" ht="13.5">
      <c r="A86" s="2858">
        <v>14</v>
      </c>
      <c r="B86" s="3472"/>
      <c r="C86" s="2832" t="s">
        <v>2669</v>
      </c>
      <c r="D86" s="2832" t="s">
        <v>2670</v>
      </c>
      <c r="E86" s="2858">
        <v>0.1</v>
      </c>
      <c r="F86" s="2858">
        <v>15</v>
      </c>
    </row>
    <row r="87" spans="1:6" ht="13.5">
      <c r="A87" s="2858">
        <v>15</v>
      </c>
      <c r="B87" s="3472"/>
      <c r="C87" s="2832" t="s">
        <v>2671</v>
      </c>
      <c r="D87" s="2832" t="s">
        <v>2672</v>
      </c>
      <c r="E87" s="2858">
        <v>0.1</v>
      </c>
      <c r="F87" s="2858">
        <v>15</v>
      </c>
    </row>
    <row r="88" spans="1:6" ht="24">
      <c r="A88" s="2858">
        <v>16</v>
      </c>
      <c r="B88" s="3472"/>
      <c r="C88" s="2832" t="s">
        <v>2673</v>
      </c>
      <c r="D88" s="2832" t="s">
        <v>2674</v>
      </c>
      <c r="E88" s="2858">
        <v>0.1</v>
      </c>
      <c r="F88" s="2858">
        <v>15</v>
      </c>
    </row>
    <row r="89" spans="1:6" ht="24">
      <c r="A89" s="2858">
        <v>17</v>
      </c>
      <c r="B89" s="3471"/>
      <c r="C89" s="2832" t="s">
        <v>2675</v>
      </c>
      <c r="D89" s="2832" t="s">
        <v>2676</v>
      </c>
      <c r="E89" s="2858">
        <v>0.1</v>
      </c>
      <c r="F89" s="2858">
        <v>15</v>
      </c>
    </row>
    <row r="90" spans="1:6" ht="13.5">
      <c r="A90" s="2858">
        <v>18</v>
      </c>
      <c r="B90" s="3470" t="s">
        <v>2677</v>
      </c>
      <c r="C90" s="2832" t="s">
        <v>2678</v>
      </c>
      <c r="D90" s="2832" t="s">
        <v>2679</v>
      </c>
      <c r="E90" s="2858">
        <v>0.2</v>
      </c>
      <c r="F90" s="2858">
        <v>25</v>
      </c>
    </row>
    <row r="91" spans="1:6" ht="24">
      <c r="A91" s="2858">
        <v>19</v>
      </c>
      <c r="B91" s="3472"/>
      <c r="C91" s="2832" t="s">
        <v>2680</v>
      </c>
      <c r="D91" s="2832" t="s">
        <v>2681</v>
      </c>
      <c r="E91" s="2858">
        <v>0.2</v>
      </c>
      <c r="F91" s="2858">
        <v>25</v>
      </c>
    </row>
    <row r="92" spans="1:6" ht="13.5">
      <c r="A92" s="2858">
        <v>20</v>
      </c>
      <c r="B92" s="3472"/>
      <c r="C92" s="2832" t="s">
        <v>2682</v>
      </c>
      <c r="D92" s="2832" t="s">
        <v>2683</v>
      </c>
      <c r="E92" s="2858">
        <v>0.15</v>
      </c>
      <c r="F92" s="2858">
        <v>20</v>
      </c>
    </row>
    <row r="93" spans="1:6" ht="13.5">
      <c r="A93" s="2858">
        <v>21</v>
      </c>
      <c r="B93" s="3472"/>
      <c r="C93" s="2832" t="s">
        <v>2684</v>
      </c>
      <c r="D93" s="2832" t="s">
        <v>2685</v>
      </c>
      <c r="E93" s="2858">
        <v>0.15</v>
      </c>
      <c r="F93" s="2858">
        <v>20</v>
      </c>
    </row>
    <row r="94" spans="1:6" ht="13.5">
      <c r="A94" s="2858">
        <v>22</v>
      </c>
      <c r="B94" s="3472"/>
      <c r="C94" s="2832" t="s">
        <v>2686</v>
      </c>
      <c r="D94" s="2832" t="s">
        <v>2687</v>
      </c>
      <c r="E94" s="2858">
        <v>0.15</v>
      </c>
      <c r="F94" s="2858">
        <v>20</v>
      </c>
    </row>
    <row r="95" spans="1:6" ht="36">
      <c r="A95" s="2858">
        <v>23</v>
      </c>
      <c r="B95" s="3472"/>
      <c r="C95" s="2832" t="s">
        <v>2688</v>
      </c>
      <c r="D95" s="2832" t="s">
        <v>2689</v>
      </c>
      <c r="E95" s="2858">
        <v>0.15</v>
      </c>
      <c r="F95" s="2858">
        <v>20</v>
      </c>
    </row>
    <row r="96" spans="1:6" ht="13.5">
      <c r="A96" s="2858">
        <v>24</v>
      </c>
      <c r="B96" s="3472"/>
      <c r="C96" s="2832" t="s">
        <v>2690</v>
      </c>
      <c r="D96" s="2832" t="s">
        <v>2691</v>
      </c>
      <c r="E96" s="2858">
        <v>0.1</v>
      </c>
      <c r="F96" s="2858">
        <v>15</v>
      </c>
    </row>
    <row r="97" spans="1:6" ht="13.5">
      <c r="A97" s="2858">
        <v>25</v>
      </c>
      <c r="B97" s="3472"/>
      <c r="C97" s="2832" t="s">
        <v>2692</v>
      </c>
      <c r="D97" s="2832" t="s">
        <v>2693</v>
      </c>
      <c r="E97" s="2858">
        <v>0.1</v>
      </c>
      <c r="F97" s="2858">
        <v>15</v>
      </c>
    </row>
    <row r="98" spans="1:6" ht="24">
      <c r="A98" s="2858">
        <v>26</v>
      </c>
      <c r="B98" s="3472"/>
      <c r="C98" s="2832" t="s">
        <v>2694</v>
      </c>
      <c r="D98" s="2832" t="s">
        <v>2695</v>
      </c>
      <c r="E98" s="2858">
        <v>0.1</v>
      </c>
      <c r="F98" s="2858">
        <v>15</v>
      </c>
    </row>
    <row r="99" spans="1:6" ht="24">
      <c r="A99" s="2858">
        <v>27</v>
      </c>
      <c r="B99" s="3472"/>
      <c r="C99" s="2832" t="s">
        <v>2696</v>
      </c>
      <c r="D99" s="2832" t="s">
        <v>2697</v>
      </c>
      <c r="E99" s="2858">
        <v>0.1</v>
      </c>
      <c r="F99" s="2858">
        <v>15</v>
      </c>
    </row>
    <row r="100" spans="1:6" ht="13.5">
      <c r="A100" s="2858">
        <v>28</v>
      </c>
      <c r="B100" s="3472"/>
      <c r="C100" s="2832" t="s">
        <v>2698</v>
      </c>
      <c r="D100" s="2832" t="s">
        <v>2699</v>
      </c>
      <c r="E100" s="2858">
        <v>0.1</v>
      </c>
      <c r="F100" s="2858">
        <v>15</v>
      </c>
    </row>
    <row r="101" spans="1:6" ht="13.5">
      <c r="A101" s="2858">
        <v>29</v>
      </c>
      <c r="B101" s="3472"/>
      <c r="C101" s="2832" t="s">
        <v>2700</v>
      </c>
      <c r="D101" s="2832" t="s">
        <v>2701</v>
      </c>
      <c r="E101" s="2858">
        <v>0.1</v>
      </c>
      <c r="F101" s="2858">
        <v>15</v>
      </c>
    </row>
    <row r="102" spans="1:6" ht="13.5">
      <c r="A102" s="2858">
        <v>30</v>
      </c>
      <c r="B102" s="3472"/>
      <c r="C102" s="2832" t="s">
        <v>2702</v>
      </c>
      <c r="D102" s="2832" t="s">
        <v>2703</v>
      </c>
      <c r="E102" s="2858">
        <v>0.1</v>
      </c>
      <c r="F102" s="2858">
        <v>15</v>
      </c>
    </row>
    <row r="103" spans="1:6" ht="24">
      <c r="A103" s="2858">
        <v>31</v>
      </c>
      <c r="B103" s="3472"/>
      <c r="C103" s="2832" t="s">
        <v>2704</v>
      </c>
      <c r="D103" s="2832" t="s">
        <v>2705</v>
      </c>
      <c r="E103" s="2858">
        <v>0.1</v>
      </c>
      <c r="F103" s="2858">
        <v>15</v>
      </c>
    </row>
    <row r="104" spans="1:6" ht="24">
      <c r="A104" s="2858">
        <v>32</v>
      </c>
      <c r="B104" s="3472"/>
      <c r="C104" s="2832" t="s">
        <v>2706</v>
      </c>
      <c r="D104" s="2832" t="s">
        <v>2707</v>
      </c>
      <c r="E104" s="2858">
        <v>0.1</v>
      </c>
      <c r="F104" s="2858">
        <v>15</v>
      </c>
    </row>
    <row r="105" spans="1:6" ht="24">
      <c r="A105" s="2858">
        <v>33</v>
      </c>
      <c r="B105" s="3472"/>
      <c r="C105" s="2832" t="s">
        <v>2708</v>
      </c>
      <c r="D105" s="2832" t="s">
        <v>2709</v>
      </c>
      <c r="E105" s="2858">
        <v>0.1</v>
      </c>
      <c r="F105" s="2858">
        <v>15</v>
      </c>
    </row>
    <row r="106" spans="1:6" ht="24">
      <c r="A106" s="2858">
        <v>34</v>
      </c>
      <c r="B106" s="3471"/>
      <c r="C106" s="2832" t="s">
        <v>2710</v>
      </c>
      <c r="D106" s="2832" t="s">
        <v>2711</v>
      </c>
      <c r="E106" s="2858">
        <v>0.1</v>
      </c>
      <c r="F106" s="2858">
        <v>15</v>
      </c>
    </row>
    <row r="107" spans="1:6" ht="24">
      <c r="A107" s="2858">
        <v>35</v>
      </c>
      <c r="B107" s="3470" t="s">
        <v>2712</v>
      </c>
      <c r="C107" s="2858" t="s">
        <v>2713</v>
      </c>
      <c r="D107" s="2832" t="s">
        <v>2714</v>
      </c>
      <c r="E107" s="2858">
        <v>0.15</v>
      </c>
      <c r="F107" s="2858">
        <v>20</v>
      </c>
    </row>
    <row r="108" spans="1:6" ht="13.5">
      <c r="A108" s="2858">
        <v>36</v>
      </c>
      <c r="B108" s="3472"/>
      <c r="C108" s="2858" t="s">
        <v>2715</v>
      </c>
      <c r="D108" s="2832" t="s">
        <v>2716</v>
      </c>
      <c r="E108" s="2858">
        <v>0.15</v>
      </c>
      <c r="F108" s="2858">
        <v>20</v>
      </c>
    </row>
    <row r="109" spans="1:6" ht="13.5">
      <c r="A109" s="2858">
        <v>37</v>
      </c>
      <c r="B109" s="3472"/>
      <c r="C109" s="2858" t="s">
        <v>2717</v>
      </c>
      <c r="D109" s="2832" t="s">
        <v>2718</v>
      </c>
      <c r="E109" s="2858">
        <v>0.15</v>
      </c>
      <c r="F109" s="2858">
        <v>20</v>
      </c>
    </row>
    <row r="110" spans="1:6" ht="13.5">
      <c r="A110" s="2858">
        <v>38</v>
      </c>
      <c r="B110" s="3472"/>
      <c r="C110" s="2858" t="s">
        <v>2719</v>
      </c>
      <c r="D110" s="2832" t="s">
        <v>2720</v>
      </c>
      <c r="E110" s="2858">
        <v>0.1</v>
      </c>
      <c r="F110" s="2858">
        <v>15</v>
      </c>
    </row>
    <row r="111" spans="1:6" ht="24">
      <c r="A111" s="2858">
        <v>39</v>
      </c>
      <c r="B111" s="3472"/>
      <c r="C111" s="2858" t="s">
        <v>2721</v>
      </c>
      <c r="D111" s="2832" t="s">
        <v>2722</v>
      </c>
      <c r="E111" s="2858">
        <v>0.1</v>
      </c>
      <c r="F111" s="2858">
        <v>15</v>
      </c>
    </row>
    <row r="112" spans="1:6" ht="24">
      <c r="A112" s="2858">
        <v>40</v>
      </c>
      <c r="B112" s="3471"/>
      <c r="C112" s="2858" t="s">
        <v>2723</v>
      </c>
      <c r="D112" s="2832" t="s">
        <v>2724</v>
      </c>
      <c r="E112" s="2858">
        <v>0.1</v>
      </c>
      <c r="F112" s="2858">
        <v>15</v>
      </c>
    </row>
    <row r="113" spans="1:6" ht="13.5">
      <c r="A113" s="2858">
        <v>41</v>
      </c>
      <c r="B113" s="3469" t="s">
        <v>2725</v>
      </c>
      <c r="C113" s="2858" t="s">
        <v>2726</v>
      </c>
      <c r="D113" s="2832" t="s">
        <v>2727</v>
      </c>
      <c r="E113" s="2858">
        <v>0.1</v>
      </c>
      <c r="F113" s="2858">
        <v>15</v>
      </c>
    </row>
    <row r="114" spans="1:6" ht="13.5">
      <c r="A114" s="2858">
        <v>42</v>
      </c>
      <c r="B114" s="3469"/>
      <c r="C114" s="2858" t="s">
        <v>2728</v>
      </c>
      <c r="D114" s="2832" t="s">
        <v>2729</v>
      </c>
      <c r="E114" s="2858">
        <v>0.1</v>
      </c>
      <c r="F114" s="2858">
        <v>15</v>
      </c>
    </row>
    <row r="115" spans="1:6" ht="24">
      <c r="A115" s="2858">
        <v>43</v>
      </c>
      <c r="B115" s="3469"/>
      <c r="C115" s="2858" t="s">
        <v>2730</v>
      </c>
      <c r="D115" s="2832" t="s">
        <v>2731</v>
      </c>
      <c r="E115" s="2858">
        <v>0.1</v>
      </c>
      <c r="F115" s="2858">
        <v>15</v>
      </c>
    </row>
    <row r="116" spans="1:6" ht="13.5">
      <c r="A116" s="2858">
        <v>44</v>
      </c>
      <c r="B116" s="3470" t="s">
        <v>2732</v>
      </c>
      <c r="C116" s="2858" t="s">
        <v>2733</v>
      </c>
      <c r="D116" s="2832" t="s">
        <v>2734</v>
      </c>
      <c r="E116" s="2858">
        <v>0.1</v>
      </c>
      <c r="F116" s="2858">
        <v>15</v>
      </c>
    </row>
    <row r="117" spans="1:6" ht="24">
      <c r="A117" s="2858">
        <v>45</v>
      </c>
      <c r="B117" s="3471"/>
      <c r="C117" s="2832" t="s">
        <v>2735</v>
      </c>
      <c r="D117" s="2832" t="s">
        <v>2736</v>
      </c>
      <c r="E117" s="2858">
        <v>0.1</v>
      </c>
      <c r="F117" s="2858">
        <v>15</v>
      </c>
    </row>
    <row r="118" spans="1:6" ht="24">
      <c r="A118" s="2858">
        <v>46</v>
      </c>
      <c r="B118" s="3470" t="s">
        <v>2737</v>
      </c>
      <c r="C118" s="2858" t="s">
        <v>2738</v>
      </c>
      <c r="D118" s="2832" t="s">
        <v>2739</v>
      </c>
      <c r="E118" s="2858">
        <v>0.1</v>
      </c>
      <c r="F118" s="2858">
        <v>15</v>
      </c>
    </row>
    <row r="119" spans="1:6" ht="24">
      <c r="A119" s="2858">
        <v>47</v>
      </c>
      <c r="B119" s="3471"/>
      <c r="C119" s="2858" t="s">
        <v>2740</v>
      </c>
      <c r="D119" s="2832" t="s">
        <v>2741</v>
      </c>
      <c r="E119" s="2858">
        <v>0.1</v>
      </c>
      <c r="F119" s="2858">
        <v>15</v>
      </c>
    </row>
    <row r="120" spans="1:6" ht="13.5">
      <c r="A120" s="2858">
        <v>48</v>
      </c>
      <c r="B120" s="3470" t="s">
        <v>2742</v>
      </c>
      <c r="C120" s="2858" t="s">
        <v>2743</v>
      </c>
      <c r="D120" s="2832" t="s">
        <v>2744</v>
      </c>
      <c r="E120" s="2858">
        <v>0.1</v>
      </c>
      <c r="F120" s="2858">
        <v>15</v>
      </c>
    </row>
    <row r="121" spans="1:6" ht="13.5">
      <c r="A121" s="2858">
        <v>49</v>
      </c>
      <c r="B121" s="3471"/>
      <c r="C121" s="2858" t="s">
        <v>2745</v>
      </c>
      <c r="D121" s="2832" t="s">
        <v>2746</v>
      </c>
      <c r="E121" s="2858">
        <v>0.1</v>
      </c>
      <c r="F121" s="2858">
        <v>15</v>
      </c>
    </row>
    <row r="122" spans="1:6" ht="24">
      <c r="A122" s="2858">
        <v>50</v>
      </c>
      <c r="B122" s="3469" t="s">
        <v>2747</v>
      </c>
      <c r="C122" s="2858" t="s">
        <v>2748</v>
      </c>
      <c r="D122" s="2832" t="s">
        <v>2749</v>
      </c>
      <c r="E122" s="2858">
        <v>0.1</v>
      </c>
      <c r="F122" s="2858">
        <v>15</v>
      </c>
    </row>
    <row r="123" spans="1:6" ht="24">
      <c r="A123" s="2858">
        <v>51</v>
      </c>
      <c r="B123" s="3469"/>
      <c r="C123" s="2858" t="s">
        <v>2750</v>
      </c>
      <c r="D123" s="2832" t="s">
        <v>2751</v>
      </c>
      <c r="E123" s="2858">
        <v>0.1</v>
      </c>
      <c r="F123" s="2858">
        <v>15</v>
      </c>
    </row>
    <row r="124" spans="1:6" ht="24">
      <c r="A124" s="2858">
        <v>52</v>
      </c>
      <c r="B124" s="3469" t="s">
        <v>2752</v>
      </c>
      <c r="C124" s="2858" t="s">
        <v>2753</v>
      </c>
      <c r="D124" s="2832" t="s">
        <v>2754</v>
      </c>
      <c r="E124" s="2858">
        <v>0.1</v>
      </c>
      <c r="F124" s="2858">
        <v>15</v>
      </c>
    </row>
    <row r="125" spans="1:6" ht="24">
      <c r="A125" s="2858">
        <v>53</v>
      </c>
      <c r="B125" s="346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9" t="s">
        <v>2760</v>
      </c>
      <c r="C127" s="2858" t="s">
        <v>2761</v>
      </c>
      <c r="D127" s="2832" t="s">
        <v>2762</v>
      </c>
      <c r="E127" s="2858">
        <v>0.1</v>
      </c>
      <c r="F127" s="2858">
        <v>15</v>
      </c>
    </row>
    <row r="128" spans="1:6" ht="13.5">
      <c r="A128" s="2858">
        <v>56</v>
      </c>
      <c r="B128" s="3469"/>
      <c r="C128" s="2858" t="s">
        <v>2763</v>
      </c>
      <c r="D128" s="2832" t="s">
        <v>2764</v>
      </c>
      <c r="E128" s="2858">
        <v>0.1</v>
      </c>
      <c r="F128" s="2858">
        <v>15</v>
      </c>
    </row>
    <row r="129" spans="1:6" ht="24">
      <c r="A129" s="2858">
        <v>57</v>
      </c>
      <c r="B129" s="3469"/>
      <c r="C129" s="2858" t="s">
        <v>2765</v>
      </c>
      <c r="D129" s="2832" t="s">
        <v>2766</v>
      </c>
      <c r="E129" s="2858">
        <v>0.1</v>
      </c>
      <c r="F129" s="2858">
        <v>15</v>
      </c>
    </row>
    <row r="130" spans="1:6" ht="24">
      <c r="A130" s="2858">
        <v>58</v>
      </c>
      <c r="B130" s="3469" t="s">
        <v>2767</v>
      </c>
      <c r="C130" s="2858" t="s">
        <v>2768</v>
      </c>
      <c r="D130" s="2832" t="s">
        <v>2769</v>
      </c>
      <c r="E130" s="2858">
        <v>0.1</v>
      </c>
      <c r="F130" s="2858">
        <v>15</v>
      </c>
    </row>
    <row r="131" spans="1:6" ht="13.5">
      <c r="A131" s="2858">
        <v>59</v>
      </c>
      <c r="B131" s="3469"/>
      <c r="C131" s="2858" t="s">
        <v>2770</v>
      </c>
      <c r="D131" s="2832" t="s">
        <v>2771</v>
      </c>
      <c r="E131" s="2858">
        <v>0.1</v>
      </c>
      <c r="F131" s="2858">
        <v>15</v>
      </c>
    </row>
    <row r="132" spans="1:6" ht="13.5">
      <c r="A132" s="2858">
        <v>60</v>
      </c>
      <c r="B132" s="3470" t="s">
        <v>2772</v>
      </c>
      <c r="C132" s="2858" t="s">
        <v>2773</v>
      </c>
      <c r="D132" s="2832" t="s">
        <v>2774</v>
      </c>
      <c r="E132" s="2858">
        <v>0.1</v>
      </c>
      <c r="F132" s="2858">
        <v>15</v>
      </c>
    </row>
    <row r="133" spans="1:6" ht="13.5">
      <c r="A133" s="2858">
        <v>61</v>
      </c>
      <c r="B133" s="34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9" t="s">
        <v>2780</v>
      </c>
      <c r="C135" s="2858" t="s">
        <v>2781</v>
      </c>
      <c r="D135" s="2832" t="s">
        <v>2782</v>
      </c>
      <c r="E135" s="2858">
        <v>0.1</v>
      </c>
      <c r="F135" s="2858">
        <v>15</v>
      </c>
    </row>
    <row r="136" spans="1:6" ht="13.5">
      <c r="A136" s="2858">
        <v>64</v>
      </c>
      <c r="B136" s="346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t="e">
        <f ca="1">结果表!H101</f>
        <v>#REF!</v>
      </c>
    </row>
    <row r="6" spans="1:5" ht="15.75">
      <c r="B6" s="3164"/>
      <c r="C6" s="1392" t="s">
        <v>911</v>
      </c>
      <c r="D6" s="797" t="e">
        <f ca="1">NUMBERSTRING(INT(D5*10000),2)&amp;"元整"</f>
        <v>#REF!</v>
      </c>
    </row>
    <row r="7" spans="1:5" ht="15.75">
      <c r="B7" s="3169"/>
      <c r="C7" s="1393" t="s">
        <v>912</v>
      </c>
      <c r="D7" s="798" t="e">
        <f ca="1">结果表!H102</f>
        <v>#REF!</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t="e">
        <f ca="1">结果表!H107</f>
        <v>#REF!</v>
      </c>
    </row>
    <row r="14" spans="1:5" ht="15.75">
      <c r="B14" s="3164"/>
      <c r="C14" s="1392" t="s">
        <v>911</v>
      </c>
      <c r="D14" s="797" t="e">
        <f ca="1">NUMBERSTRING(INT(D13*10000),2)&amp;"元整"</f>
        <v>#REF!</v>
      </c>
    </row>
    <row r="15" spans="1:5" ht="15">
      <c r="B15" s="3169"/>
      <c r="C15" s="1393" t="s">
        <v>921</v>
      </c>
      <c r="D15" s="806" t="e">
        <f ca="1">结果表!H108</f>
        <v>#REF!</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0.95120000000000005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29601</v>
      </c>
      <c r="C2" s="2" t="s">
        <v>106</v>
      </c>
      <c r="D2" s="191"/>
      <c r="E2" s="191"/>
      <c r="F2" s="191"/>
      <c r="G2" s="191"/>
    </row>
    <row r="3" spans="1:7" s="192" customFormat="1" ht="18" customHeight="1" thickBot="1">
      <c r="A3" s="195" t="s">
        <v>58</v>
      </c>
      <c r="B3" s="196">
        <f ca="1">ROUND(B2*10000/'数据-汇总表'!E3,0)</f>
        <v>159852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v>
      </c>
      <c r="D10" s="795">
        <f>'数据-汇总表'!E6</f>
        <v>1851.78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v>
      </c>
      <c r="D19" s="204">
        <f>'数据-汇总表'!E3</f>
        <v>1851.78</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1313</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4212</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4212</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741</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v>
      </c>
      <c r="D37" s="209">
        <f>'数据-汇总表'!E3</f>
        <v>1851.78</v>
      </c>
      <c r="E37" s="241">
        <f>'数据-取费表'!B35</f>
        <v>200</v>
      </c>
      <c r="F37" s="251"/>
      <c r="G37" s="253" t="s">
        <v>92</v>
      </c>
    </row>
    <row r="38" spans="1:7" ht="13.5" customHeight="1">
      <c r="A38" s="734" t="s">
        <v>354</v>
      </c>
      <c r="B38" s="207" t="s">
        <v>36</v>
      </c>
      <c r="C38" s="212">
        <f>ROUND(C34*F38,0)</f>
        <v>15</v>
      </c>
      <c r="D38" s="212"/>
      <c r="E38" s="212"/>
      <c r="F38" s="251">
        <f>'数据-取费表'!B36</f>
        <v>0.02</v>
      </c>
      <c r="G38" s="211" t="s">
        <v>90</v>
      </c>
    </row>
    <row r="39" spans="1:7" s="206" customFormat="1" ht="13.5" customHeight="1">
      <c r="A39" s="731" t="s">
        <v>338</v>
      </c>
      <c r="B39" s="202" t="s">
        <v>77</v>
      </c>
      <c r="C39" s="224">
        <f>ROUND(C33*F20,0)</f>
        <v>17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27</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26</v>
      </c>
      <c r="D42" s="230"/>
      <c r="E42" s="230"/>
      <c r="F42" s="231"/>
      <c r="G42" s="3344" t="s">
        <v>94</v>
      </c>
    </row>
    <row r="43" spans="1:7" ht="13.5" customHeight="1">
      <c r="A43" s="734" t="s">
        <v>347</v>
      </c>
      <c r="B43" s="207" t="s">
        <v>426</v>
      </c>
      <c r="C43" s="230">
        <f ca="1">ROUND(IF('数据-取费表'!B22&lt;=1,C39*F22*'数据-取费表'!B21/2,C39*(POWER((1+F22),'数据-取费表'!B21/2)-1)),0)</f>
        <v>1</v>
      </c>
      <c r="D43" s="230"/>
      <c r="E43" s="230"/>
      <c r="F43" s="231"/>
      <c r="G43" s="3345"/>
    </row>
    <row r="44" spans="1:7" ht="13.5" customHeight="1">
      <c r="A44" s="734" t="s">
        <v>348</v>
      </c>
      <c r="B44" s="207" t="s">
        <v>428</v>
      </c>
      <c r="C44" s="230">
        <f ca="1">ROUND(IF('数据-取费表'!B22&lt;=1,C40*F22*'数据-取费表'!B21/2,C40*(POWER((1+F22),'数据-取费表'!B21/2)-1)),4)</f>
        <v>5.9999999999999995E-4</v>
      </c>
      <c r="D44" s="230"/>
      <c r="E44" s="230"/>
      <c r="F44" s="231"/>
      <c r="G44" s="3346"/>
    </row>
    <row r="45" spans="1:7" s="206" customFormat="1" ht="13.5" customHeight="1">
      <c r="A45" s="731" t="s">
        <v>341</v>
      </c>
      <c r="B45" s="236" t="s">
        <v>85</v>
      </c>
      <c r="C45" s="237">
        <f>C46</f>
        <v>169</v>
      </c>
      <c r="D45" s="227">
        <f>C47</f>
        <v>4.0000000000000001E-3</v>
      </c>
      <c r="E45" s="228" t="s">
        <v>102</v>
      </c>
      <c r="F45" s="238"/>
      <c r="G45" s="239" t="s">
        <v>434</v>
      </c>
    </row>
    <row r="46" spans="1:7" s="206" customFormat="1" ht="13.5" customHeight="1">
      <c r="A46" s="734" t="s">
        <v>349</v>
      </c>
      <c r="B46" s="240" t="s">
        <v>427</v>
      </c>
      <c r="C46" s="241">
        <f>ROUND((C33+C39)*F27,0)</f>
        <v>169</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1131</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769</v>
      </c>
      <c r="D51" s="224"/>
      <c r="E51" s="224"/>
      <c r="F51" s="256"/>
      <c r="G51" s="226" t="s">
        <v>37</v>
      </c>
    </row>
    <row r="52" spans="1:7" s="200" customFormat="1" ht="16.5" thickBot="1">
      <c r="A52" s="257" t="s">
        <v>38</v>
      </c>
      <c r="B52" s="258"/>
      <c r="C52" s="259">
        <f ca="1">C31+C51</f>
        <v>29601</v>
      </c>
      <c r="D52" s="258"/>
      <c r="E52" s="258"/>
      <c r="F52" s="258"/>
      <c r="G52" s="260"/>
    </row>
    <row r="55" spans="1:7" ht="15">
      <c r="B55" s="262" t="s">
        <v>39</v>
      </c>
      <c r="C55" s="263"/>
    </row>
    <row r="56" spans="1:7">
      <c r="B56" s="265" t="s">
        <v>40</v>
      </c>
      <c r="C56" s="266">
        <f ca="1">ROUND(C51/C52,3)</f>
        <v>2.5999999999999999E-2</v>
      </c>
    </row>
    <row r="57" spans="1:7">
      <c r="B57" s="265" t="s">
        <v>41</v>
      </c>
      <c r="C57" s="267">
        <f ca="1">1-C56</f>
        <v>0.97399999999999998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3" t="s">
        <v>2830</v>
      </c>
      <c r="B1" s="3483"/>
      <c r="C1" s="3483"/>
      <c r="D1" s="3483"/>
      <c r="E1" s="3483"/>
      <c r="F1" s="3483"/>
      <c r="G1" s="348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8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5" t="s">
        <v>3172</v>
      </c>
      <c r="B1" s="348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6" t="s">
        <v>3223</v>
      </c>
      <c r="B1" s="3486"/>
      <c r="C1" s="3486"/>
      <c r="D1" s="3486"/>
      <c r="E1" s="3486"/>
      <c r="F1" s="348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45708</v>
      </c>
      <c r="B1" s="2930" t="s">
        <v>3370</v>
      </c>
      <c r="C1" s="2931"/>
      <c r="D1" s="2931"/>
      <c r="E1" s="2931"/>
      <c r="F1" s="2931"/>
      <c r="G1" s="2931"/>
      <c r="H1" s="2931"/>
      <c r="I1" s="2931"/>
      <c r="J1" s="2897"/>
      <c r="K1" s="2931" t="s">
        <v>454</v>
      </c>
      <c r="L1" s="2931"/>
      <c r="M1" s="2931"/>
      <c r="N1" s="2931"/>
      <c r="O1" s="2931"/>
      <c r="P1" s="2931"/>
      <c r="Q1" s="2897"/>
      <c r="R1" s="3488" t="s">
        <v>456</v>
      </c>
      <c r="S1" s="3489"/>
      <c r="T1" s="3489"/>
      <c r="U1" s="3489"/>
      <c r="V1" s="3489"/>
      <c r="W1" s="3489"/>
      <c r="X1" s="2897"/>
      <c r="Y1" s="3488" t="s">
        <v>457</v>
      </c>
      <c r="Z1" s="3489"/>
      <c r="AA1" s="3489"/>
      <c r="AB1" s="3489"/>
      <c r="AC1" s="3489"/>
      <c r="AD1" s="348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88" t="s">
        <v>2818</v>
      </c>
      <c r="S26" s="3489"/>
      <c r="T26" s="3489"/>
      <c r="U26" s="3489"/>
      <c r="V26" s="3489"/>
      <c r="W26" s="3489"/>
      <c r="X26" s="2897"/>
      <c r="Y26" s="3488" t="s">
        <v>2819</v>
      </c>
      <c r="Z26" s="3489"/>
      <c r="AA26" s="3489"/>
      <c r="AB26" s="3489"/>
      <c r="AC26" s="3489"/>
      <c r="AD26" s="348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45708</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1851.78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75">
      <c r="A8" s="3175" t="str">
        <f>结果表!A122</f>
        <v>房地产抵押价值</v>
      </c>
      <c r="B8" s="3175"/>
      <c r="C8" s="3175"/>
      <c r="D8" s="3175" t="e">
        <f ca="1">结果表!D122</f>
        <v>#REF!</v>
      </c>
      <c r="E8" s="3175"/>
      <c r="F8" s="3175"/>
      <c r="G8" s="3175"/>
      <c r="H8" s="3175"/>
      <c r="I8" s="3175"/>
    </row>
    <row r="9" spans="1:9" ht="15">
      <c r="A9" s="3176" t="s">
        <v>927</v>
      </c>
      <c r="B9" s="3176"/>
      <c r="C9" s="3176"/>
      <c r="D9" s="3176" t="e">
        <f ca="1">结果表!D123</f>
        <v>#REF!</v>
      </c>
      <c r="E9" s="3176"/>
      <c r="F9" s="3176"/>
      <c r="G9" s="3176"/>
      <c r="H9" s="3176"/>
      <c r="I9" s="3176"/>
    </row>
    <row r="10" spans="1:9" ht="15.75">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75">
      <c r="A12" s="3175" t="str">
        <f>结果表!A126</f>
        <v/>
      </c>
      <c r="B12" s="3175"/>
      <c r="C12" s="3175"/>
      <c r="D12" s="3175" t="str">
        <f>结果表!D126</f>
        <v>——</v>
      </c>
      <c r="E12" s="3175"/>
      <c r="F12" s="3175"/>
      <c r="G12" s="3175"/>
      <c r="H12" s="3175"/>
      <c r="I12" s="3175"/>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949</v>
      </c>
      <c r="B1" s="3188"/>
      <c r="C1" s="3188"/>
      <c r="D1" s="3188"/>
    </row>
    <row r="2" spans="1:4" ht="18">
      <c r="A2" s="3189" t="s">
        <v>933</v>
      </c>
      <c r="B2" s="3189"/>
      <c r="C2" s="3189"/>
      <c r="D2" s="318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9" t="s">
        <v>939</v>
      </c>
      <c r="B6" s="3189"/>
      <c r="C6" s="3189"/>
      <c r="D6" s="318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0" t="s">
        <v>942</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面积租金</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案例</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2025-02-20T07:49:32Z</dcterms:modified>
</cp:coreProperties>
</file>