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收益法" sheetId="15"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C24" i="37" l="1"/>
  <c r="C18" i="37"/>
  <c r="C16" i="37"/>
  <c r="I16" i="37" s="1"/>
  <c r="G16" i="37" l="1"/>
  <c r="E16" i="37"/>
  <c r="N6" i="1"/>
  <c r="Y6" i="1" s="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c r="Z34" i="71" s="1"/>
  <c r="N34" i="71"/>
  <c r="Q33" i="71"/>
  <c r="F34" i="71" s="1"/>
  <c r="F35" i="71" s="1"/>
  <c r="F36" i="71" s="1"/>
  <c r="V36" i="71" s="1"/>
  <c r="P33" i="71"/>
  <c r="O33" i="71"/>
  <c r="N33" i="71"/>
  <c r="D33" i="71"/>
  <c r="Q32" i="71"/>
  <c r="P32" i="71"/>
  <c r="AA32" i="71" s="1"/>
  <c r="O32" i="71"/>
  <c r="Y32" i="71"/>
  <c r="Z32" i="71" s="1"/>
  <c r="N32" i="71"/>
  <c r="Q31" i="71"/>
  <c r="AB31" i="71" s="1"/>
  <c r="P31" i="71"/>
  <c r="O31" i="71"/>
  <c r="N31" i="71"/>
  <c r="Q30" i="71"/>
  <c r="P30" i="71"/>
  <c r="AA30" i="71" s="1"/>
  <c r="O30" i="71"/>
  <c r="Y30" i="71"/>
  <c r="Z30" i="71" s="1"/>
  <c r="N30" i="71"/>
  <c r="Q29" i="71"/>
  <c r="F30" i="71" s="1"/>
  <c r="F31" i="71" s="1"/>
  <c r="F32" i="71" s="1"/>
  <c r="V32" i="71" s="1"/>
  <c r="P29" i="71"/>
  <c r="E30" i="71" s="1"/>
  <c r="O29" i="71"/>
  <c r="N29" i="71"/>
  <c r="D29" i="71"/>
  <c r="O28" i="71"/>
  <c r="C28" i="71" s="1"/>
  <c r="N28" i="71"/>
  <c r="B30" i="71"/>
  <c r="B31" i="71" s="1"/>
  <c r="X29" i="71"/>
  <c r="B34" i="71"/>
  <c r="B35" i="71" s="1"/>
  <c r="X33" i="71"/>
  <c r="E38" i="71"/>
  <c r="AA37" i="71"/>
  <c r="E34" i="71"/>
  <c r="E35" i="71" s="1"/>
  <c r="E36" i="71" s="1"/>
  <c r="U36" i="71" s="1"/>
  <c r="C30" i="71"/>
  <c r="C31" i="71" s="1"/>
  <c r="AB29" i="71"/>
  <c r="AA31" i="71"/>
  <c r="C34" i="71"/>
  <c r="X34" i="71"/>
  <c r="AA35" i="71"/>
  <c r="AA36" i="71"/>
  <c r="Y37" i="71"/>
  <c r="Z37" i="71" s="1"/>
  <c r="AB37" i="71"/>
  <c r="AA38" i="71"/>
  <c r="Y25" i="71"/>
  <c r="Z25" i="71" s="1"/>
  <c r="Y27" i="71"/>
  <c r="Z27" i="71" s="1"/>
  <c r="B28" i="71"/>
  <c r="B27" i="71" s="1"/>
  <c r="B26" i="71" s="1"/>
  <c r="X26" i="71"/>
  <c r="X28" i="71"/>
  <c r="D30" i="71"/>
  <c r="C39" i="71"/>
  <c r="C40" i="71" s="1"/>
  <c r="D42" i="71"/>
  <c r="D46" i="71"/>
  <c r="D50" i="71"/>
  <c r="P28" i="71"/>
  <c r="E55" i="71"/>
  <c r="E56" i="71" s="1"/>
  <c r="U56" i="71" s="1"/>
  <c r="E60" i="71"/>
  <c r="U60" i="71" s="1"/>
  <c r="U68" i="71"/>
  <c r="Q28" i="71"/>
  <c r="D58" i="71"/>
  <c r="D62" i="71"/>
  <c r="T68" i="71"/>
  <c r="O68" i="71"/>
  <c r="D68" i="71"/>
  <c r="C67" i="71"/>
  <c r="Q68" i="71"/>
  <c r="C71" i="71"/>
  <c r="D72" i="71"/>
  <c r="C75" i="71"/>
  <c r="E75" i="71"/>
  <c r="E74" i="71" s="1"/>
  <c r="D76" i="71"/>
  <c r="C79" i="71"/>
  <c r="D80" i="71"/>
  <c r="C87" i="71"/>
  <c r="C86" i="71" s="1"/>
  <c r="D86" i="71" s="1"/>
  <c r="AB26" i="71"/>
  <c r="E28" i="71"/>
  <c r="E27" i="71" s="1"/>
  <c r="E26" i="71" s="1"/>
  <c r="AA3" i="71"/>
  <c r="AA25" i="71"/>
  <c r="AA26" i="71"/>
  <c r="AA27" i="71"/>
  <c r="AA28" i="71"/>
  <c r="C66" i="71"/>
  <c r="O67" i="71"/>
  <c r="D67" i="71"/>
  <c r="C64" i="71"/>
  <c r="D64" i="71" s="1"/>
  <c r="D63" i="71"/>
  <c r="D75" i="71"/>
  <c r="C74" i="71"/>
  <c r="D74" i="71" s="1"/>
  <c r="D87" i="71"/>
  <c r="D79" i="71"/>
  <c r="C78" i="71"/>
  <c r="D78" i="71" s="1"/>
  <c r="D71" i="71"/>
  <c r="C70" i="71"/>
  <c r="D70" i="71" s="1"/>
  <c r="C60" i="71"/>
  <c r="T60" i="71" s="1"/>
  <c r="D59" i="71"/>
  <c r="C52" i="71"/>
  <c r="T52" i="71" s="1"/>
  <c r="D51" i="71"/>
  <c r="D43" i="71"/>
  <c r="D39" i="71"/>
  <c r="C32" i="71"/>
  <c r="T32" i="71" s="1"/>
  <c r="D31" i="71"/>
  <c r="V28" i="71"/>
  <c r="O66" i="71"/>
  <c r="D66" i="71"/>
  <c r="O65" i="71"/>
  <c r="D32" i="71"/>
  <c r="D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C25" i="40"/>
  <c r="S25" i="40"/>
  <c r="S18" i="36"/>
  <c r="S21" i="34"/>
  <c r="H25" i="40"/>
  <c r="AB25" i="40" s="1"/>
  <c r="J25" i="40"/>
  <c r="AC25" i="40" s="1"/>
  <c r="H29" i="39"/>
  <c r="AB29" i="39" s="1"/>
  <c r="J29" i="39"/>
  <c r="AC29" i="39" s="1"/>
  <c r="J18" i="36"/>
  <c r="AC18" i="36" s="1"/>
  <c r="H18" i="35"/>
  <c r="AB18" i="35" s="1"/>
  <c r="S18" i="35"/>
  <c r="J18" i="35"/>
  <c r="F77" i="37"/>
  <c r="G77" i="37" s="1"/>
  <c r="H21" i="37"/>
  <c r="AB21" i="37" s="1"/>
  <c r="F21" i="37"/>
  <c r="AA21" i="37" s="1"/>
  <c r="H21" i="34"/>
  <c r="AB21" i="34" s="1"/>
  <c r="H21" i="33"/>
  <c r="U21" i="33" s="1"/>
  <c r="F21" i="33"/>
  <c r="E83" i="21"/>
  <c r="F83" i="21" s="1"/>
  <c r="H1" i="69"/>
  <c r="W25" i="40"/>
  <c r="U25" i="40"/>
  <c r="U29" i="39"/>
  <c r="W29" i="39"/>
  <c r="W18" i="36"/>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J35" i="34"/>
  <c r="U34" i="34"/>
  <c r="H39" i="33"/>
  <c r="AB39" i="33"/>
  <c r="F26" i="33"/>
  <c r="AA26" i="33" s="1"/>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s="1"/>
  <c r="G89" i="37" s="1"/>
  <c r="H89" i="37" s="1"/>
  <c r="I89" i="37" s="1"/>
  <c r="J89" i="37" s="1"/>
  <c r="K89" i="37" s="1"/>
  <c r="L89" i="37" s="1"/>
  <c r="M89" i="37" s="1"/>
  <c r="H36" i="37"/>
  <c r="AB36"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c r="H31" i="40"/>
  <c r="U31" i="40"/>
  <c r="F32" i="40"/>
  <c r="S32" i="40"/>
  <c r="H32" i="40"/>
  <c r="AB32" i="40"/>
  <c r="J36" i="40"/>
  <c r="W36" i="40"/>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BL549" i="3"/>
  <c r="AZ494" i="3"/>
  <c r="AZ502" i="3"/>
  <c r="AZ514" i="3"/>
  <c r="AZ522" i="3"/>
  <c r="AZ530" i="3"/>
  <c r="AZ546" i="3"/>
  <c r="G546" i="3"/>
  <c r="G524" i="3"/>
  <c r="G303" i="3"/>
  <c r="BL304" i="3"/>
  <c r="G305" i="3"/>
  <c r="BL306" i="3"/>
  <c r="BA308" i="3"/>
  <c r="AZ308" i="3" s="1"/>
  <c r="BA309" i="3"/>
  <c r="BL309" i="3"/>
  <c r="G310" i="3"/>
  <c r="BA311" i="3"/>
  <c r="AZ311" i="3" s="1"/>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39" i="3"/>
  <c r="AZ43" i="3"/>
  <c r="AZ47" i="3"/>
  <c r="AZ59" i="3"/>
  <c r="AZ63" i="3"/>
  <c r="AZ75" i="3"/>
  <c r="AZ79" i="3"/>
  <c r="AZ136" i="3"/>
  <c r="AZ144" i="3"/>
  <c r="AZ152" i="3"/>
  <c r="AZ168" i="3"/>
  <c r="AZ176" i="3"/>
  <c r="AZ184"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54" i="3"/>
  <c r="AZ158" i="3"/>
  <c r="AZ166" i="3"/>
  <c r="AZ170" i="3"/>
  <c r="AZ174" i="3"/>
  <c r="AZ182" i="3"/>
  <c r="AZ186" i="3"/>
  <c r="AZ190" i="3"/>
  <c r="AZ198" i="3"/>
  <c r="AZ202" i="3"/>
  <c r="AZ500" i="3"/>
  <c r="BA16" i="3"/>
  <c r="AZ16" i="3" s="1"/>
  <c r="BL303" i="3"/>
  <c r="AZ303" i="3" s="1"/>
  <c r="G304" i="3"/>
  <c r="BA306" i="3"/>
  <c r="AZ306" i="3" s="1"/>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8" i="3"/>
  <c r="G342" i="3"/>
  <c r="BL345" i="3"/>
  <c r="AZ345" i="3"/>
  <c r="G346" i="3"/>
  <c r="BL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3" i="3"/>
  <c r="AZ269" i="3"/>
  <c r="AZ273" i="3"/>
  <c r="AZ370" i="3"/>
  <c r="BA379" i="3"/>
  <c r="AZ379" i="3"/>
  <c r="BL380" i="3"/>
  <c r="G381" i="3"/>
  <c r="BA383" i="3"/>
  <c r="AZ383" i="3"/>
  <c r="BL384" i="3"/>
  <c r="G385" i="3"/>
  <c r="BA387" i="3"/>
  <c r="AZ387" i="3"/>
  <c r="BL388" i="3"/>
  <c r="G389" i="3"/>
  <c r="BA391" i="3"/>
  <c r="AZ391" i="3"/>
  <c r="BL392" i="3"/>
  <c r="G393" i="3"/>
  <c r="AZ275" i="3"/>
  <c r="AZ287" i="3"/>
  <c r="AZ291" i="3"/>
  <c r="AZ295" i="3"/>
  <c r="AZ299"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BA15" i="3"/>
  <c r="BB5" i="3"/>
  <c r="BR5" i="3"/>
  <c r="AZ384" i="3"/>
  <c r="AZ388" i="3"/>
  <c r="AZ392" i="3"/>
  <c r="AZ396" i="3"/>
  <c r="AZ509" i="3"/>
  <c r="G509" i="3"/>
  <c r="BL493" i="3"/>
  <c r="AZ491" i="3"/>
  <c r="AZ493" i="3"/>
  <c r="U36" i="40"/>
  <c r="F83" i="43"/>
  <c r="H85" i="43" s="1"/>
  <c r="G85" i="43" s="1"/>
  <c r="F50" i="43"/>
  <c r="H54" i="43" s="1"/>
  <c r="F72" i="43"/>
  <c r="H75" i="43" s="1"/>
  <c r="U17" i="39"/>
  <c r="S14" i="35"/>
  <c r="U43" i="21"/>
  <c r="U35" i="21"/>
  <c r="AC35" i="21"/>
  <c r="G8" i="1"/>
  <c r="G10" i="1"/>
  <c r="AC11" i="39"/>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15" i="3"/>
  <c r="AZ227" i="3"/>
  <c r="AZ232" i="3"/>
  <c r="AZ243" i="3"/>
  <c r="AZ248" i="3"/>
  <c r="AZ256" i="3"/>
  <c r="AZ268" i="3"/>
  <c r="AZ271" i="3"/>
  <c r="AZ288" i="3"/>
  <c r="AZ117" i="3"/>
  <c r="AZ130" i="3"/>
  <c r="AZ29" i="3"/>
  <c r="AZ31" i="3"/>
  <c r="AZ33" i="3"/>
  <c r="AZ37" i="3"/>
  <c r="AZ42" i="3"/>
  <c r="AZ45" i="3"/>
  <c r="AZ58" i="3"/>
  <c r="AZ61" i="3"/>
  <c r="AZ77"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AB34" i="36"/>
  <c r="U34" i="36"/>
  <c r="AB33" i="36"/>
  <c r="U33" i="36"/>
  <c r="AC12" i="39"/>
  <c r="W12" i="39"/>
  <c r="AC39" i="40"/>
  <c r="W39" i="40"/>
  <c r="W12" i="33"/>
  <c r="AC12" i="33"/>
  <c r="AA32" i="36"/>
  <c r="S32" i="36"/>
  <c r="AZ408" i="3"/>
  <c r="AZ437" i="3"/>
  <c r="AZ441" i="3"/>
  <c r="BL14" i="3"/>
  <c r="AZ266" i="3"/>
  <c r="U30" i="33"/>
  <c r="AC13" i="34"/>
  <c r="AA47" i="34"/>
  <c r="W28" i="37"/>
  <c r="S19" i="39"/>
  <c r="F12" i="33"/>
  <c r="H12" i="39"/>
  <c r="AB12" i="39" s="1"/>
  <c r="F39" i="40"/>
  <c r="BA14" i="3"/>
  <c r="AZ367" i="3"/>
  <c r="AZ213" i="3"/>
  <c r="AZ234" i="3"/>
  <c r="AZ250" i="3"/>
  <c r="AZ254" i="3"/>
  <c r="AZ297" i="3"/>
  <c r="AZ149" i="3"/>
  <c r="AZ165" i="3"/>
  <c r="AZ181" i="3"/>
  <c r="AZ197" i="3"/>
  <c r="AZ35" i="3"/>
  <c r="AZ41" i="3"/>
  <c r="B12" i="1"/>
  <c r="E12" i="1" s="1"/>
  <c r="B10" i="1"/>
  <c r="E10" i="1" s="1"/>
  <c r="AZ107" i="3"/>
  <c r="AZ111" i="3"/>
  <c r="K12" i="1"/>
  <c r="M12" i="1" s="1"/>
  <c r="S13" i="1"/>
  <c r="AR13" i="1" s="1"/>
  <c r="R13" i="1"/>
  <c r="J51" i="67"/>
  <c r="C42" i="1"/>
  <c r="AC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J11" i="34"/>
  <c r="W11" i="34" s="1"/>
  <c r="AB36" i="33"/>
  <c r="AC27" i="33"/>
  <c r="AC25" i="33"/>
  <c r="AA23" i="33"/>
  <c r="S23" i="33"/>
  <c r="U19" i="33"/>
  <c r="U17" i="33"/>
  <c r="AB17" i="33"/>
  <c r="U23" i="21"/>
  <c r="H109" i="9"/>
  <c r="D16" i="53" s="1"/>
  <c r="B34" i="72"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8" i="15"/>
  <c r="F5" i="73"/>
  <c r="F38" i="15"/>
  <c r="M26" i="15"/>
  <c r="F9" i="15"/>
  <c r="M29" i="15"/>
  <c r="L47" i="15"/>
  <c r="E7" i="76"/>
  <c r="F37" i="15"/>
  <c r="B7" i="76"/>
  <c r="M23" i="67"/>
  <c r="M24" i="67"/>
  <c r="F13" i="67"/>
  <c r="F20" i="31"/>
  <c r="E8" i="76"/>
  <c r="E2" i="69"/>
  <c r="F26" i="15"/>
  <c r="F40" i="67"/>
  <c r="J15" i="15"/>
  <c r="F38" i="67"/>
  <c r="F42" i="15"/>
  <c r="M22" i="15"/>
  <c r="B10" i="76"/>
  <c r="B9" i="76"/>
  <c r="AO13" i="1"/>
  <c r="E9" i="76"/>
  <c r="M28" i="15"/>
  <c r="D6" i="73"/>
  <c r="M28" i="67"/>
  <c r="F8" i="67"/>
  <c r="E2" i="68"/>
  <c r="M23" i="15"/>
  <c r="C76" i="67"/>
  <c r="E11" i="76"/>
  <c r="D3" i="73"/>
  <c r="F4" i="73"/>
  <c r="F36" i="67"/>
  <c r="F43" i="67"/>
  <c r="M6" i="67"/>
  <c r="L48" i="15"/>
  <c r="F42" i="67"/>
  <c r="F7" i="15"/>
  <c r="L47" i="67"/>
  <c r="F36" i="15"/>
  <c r="F7" i="67"/>
  <c r="B11" i="76"/>
  <c r="B8" i="76"/>
  <c r="M9" i="67"/>
  <c r="F40" i="15"/>
  <c r="F26" i="67"/>
  <c r="M9" i="15"/>
  <c r="F3" i="73"/>
  <c r="M8" i="15"/>
  <c r="M26" i="67"/>
  <c r="F6" i="73"/>
  <c r="C76" i="15"/>
  <c r="F7" i="73"/>
  <c r="F9" i="67"/>
  <c r="F16" i="15"/>
  <c r="F16" i="67"/>
  <c r="F13" i="15"/>
  <c r="B12" i="76"/>
  <c r="M8" i="67"/>
  <c r="M29" i="67"/>
  <c r="F37" i="67"/>
  <c r="E12" i="76"/>
  <c r="D7" i="73"/>
  <c r="B13" i="76"/>
  <c r="J15" i="67"/>
  <c r="E13" i="76"/>
  <c r="L48" i="67"/>
  <c r="F43" i="15"/>
  <c r="M6" i="15"/>
  <c r="M22" i="67"/>
  <c r="D4" i="73"/>
  <c r="M24" i="15"/>
  <c r="E10" i="76"/>
  <c r="W45" i="21" l="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29"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F9" i="1"/>
  <c r="G9" i="1" s="1"/>
  <c r="G44" i="43"/>
  <c r="AZ289" i="3"/>
  <c r="AZ292" i="3"/>
  <c r="AZ294" i="3"/>
  <c r="AZ118" i="3"/>
  <c r="AZ121" i="3"/>
  <c r="AZ134" i="3"/>
  <c r="AZ137" i="3"/>
  <c r="AZ145" i="3"/>
  <c r="AZ161" i="3"/>
  <c r="AZ177" i="3"/>
  <c r="AZ193" i="3"/>
  <c r="AZ34" i="3"/>
  <c r="AZ38" i="3"/>
  <c r="AZ44" i="3"/>
  <c r="AZ48" i="3"/>
  <c r="AZ60" i="3"/>
  <c r="AZ64" i="3"/>
  <c r="AZ78" i="3"/>
  <c r="AZ91" i="3"/>
  <c r="AZ98" i="3"/>
  <c r="AZ104" i="3"/>
  <c r="AZ108" i="3"/>
  <c r="AB21" i="21"/>
  <c r="AC21" i="34"/>
  <c r="U21" i="34"/>
  <c r="T40" i="71"/>
  <c r="D40" i="71"/>
  <c r="T44" i="71"/>
  <c r="D44" i="71"/>
  <c r="C27" i="71"/>
  <c r="T28" i="71"/>
  <c r="D28" i="71"/>
  <c r="U28" i="71" s="1"/>
  <c r="J51" i="15"/>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BA5" i="3"/>
  <c r="AZ15" i="3"/>
  <c r="G5" i="3"/>
  <c r="B3" i="3" s="1"/>
  <c r="E218" i="3" s="1"/>
  <c r="F28" i="6"/>
  <c r="G29" i="6"/>
  <c r="BL5" i="3"/>
  <c r="G28" i="6"/>
  <c r="B73" i="43"/>
  <c r="B79" i="43"/>
  <c r="C29" i="39"/>
  <c r="B68" i="43"/>
  <c r="B75"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136" i="3"/>
  <c r="E306" i="3"/>
  <c r="E157" i="3"/>
  <c r="E313" i="3"/>
  <c r="E532" i="3"/>
  <c r="E474" i="3"/>
  <c r="E438" i="3"/>
  <c r="E562" i="3"/>
  <c r="E571" i="3"/>
  <c r="E471" i="3"/>
  <c r="E433" i="3"/>
  <c r="E55" i="3"/>
  <c r="E54" i="3"/>
  <c r="E203" i="3"/>
  <c r="E171" i="3"/>
  <c r="E256" i="3"/>
  <c r="E257" i="3"/>
  <c r="E357" i="3"/>
  <c r="E318" i="3"/>
  <c r="E14" i="3"/>
  <c r="E31" i="3"/>
  <c r="E32" i="3"/>
  <c r="E227" i="3"/>
  <c r="I6" i="3"/>
  <c r="E368" i="3"/>
  <c r="E236" i="3"/>
  <c r="E207" i="3"/>
  <c r="E271" i="3"/>
  <c r="E145" i="3"/>
  <c r="E107" i="3"/>
  <c r="E379" i="3"/>
  <c r="E585" i="3"/>
  <c r="U6" i="3"/>
  <c r="E515" i="3"/>
  <c r="E411" i="3"/>
  <c r="E478" i="3"/>
  <c r="E548" i="3"/>
  <c r="E414" i="3"/>
  <c r="E432" i="3"/>
  <c r="E477" i="3"/>
  <c r="E367" i="3"/>
  <c r="E505" i="3"/>
  <c r="E547" i="3"/>
  <c r="AS6" i="3"/>
  <c r="E403" i="3"/>
  <c r="E476"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D5" i="73"/>
  <c r="J7" i="37" l="1"/>
  <c r="H7" i="36"/>
  <c r="E101" i="3"/>
  <c r="N67" i="71"/>
  <c r="B66" i="71"/>
  <c r="D83" i="71"/>
  <c r="C82" i="71"/>
  <c r="D82" i="71" s="1"/>
  <c r="P67" i="71"/>
  <c r="E66" i="71"/>
  <c r="C56" i="71"/>
  <c r="D55" i="71"/>
  <c r="AZ487" i="3"/>
  <c r="AZ481" i="3"/>
  <c r="AZ454" i="3"/>
  <c r="AZ422" i="3"/>
  <c r="AC38" i="40"/>
  <c r="W38" i="40"/>
  <c r="AC25" i="37"/>
  <c r="W25" i="37"/>
  <c r="AZ5" i="3"/>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489" i="3"/>
  <c r="E444" i="3"/>
  <c r="E531" i="3"/>
  <c r="E581" i="3"/>
  <c r="E557" i="3"/>
  <c r="E558" i="3"/>
  <c r="E345" i="3"/>
  <c r="E443" i="3"/>
  <c r="E400" i="3"/>
  <c r="P6" i="3"/>
  <c r="E485" i="3"/>
  <c r="E448" i="3"/>
  <c r="AO6" i="3"/>
  <c r="AG6" i="3"/>
  <c r="Z6" i="3"/>
  <c r="E576" i="3"/>
  <c r="E327" i="3"/>
  <c r="E164" i="3"/>
  <c r="E204" i="3"/>
  <c r="E252" i="3"/>
  <c r="E269" i="3"/>
  <c r="E196" i="3"/>
  <c r="E549" i="3"/>
  <c r="E397" i="3"/>
  <c r="E567" i="3"/>
  <c r="E93" i="3"/>
  <c r="E580" i="3"/>
  <c r="E362" i="3"/>
  <c r="E394" i="3"/>
  <c r="E315" i="3"/>
  <c r="E279" i="3"/>
  <c r="E208" i="3"/>
  <c r="E150" i="3"/>
  <c r="E168" i="3"/>
  <c r="E72" i="3"/>
  <c r="E475" i="3"/>
  <c r="E496" i="3"/>
  <c r="E537" i="3"/>
  <c r="W6" i="3"/>
  <c r="E288" i="3"/>
  <c r="E527" i="3"/>
  <c r="E458" i="3"/>
  <c r="E519" i="3"/>
  <c r="E193" i="3"/>
  <c r="E99" i="3"/>
  <c r="E511" i="3"/>
  <c r="E238" i="3"/>
  <c r="E156" i="3"/>
  <c r="M83" i="43"/>
  <c r="N83" i="43" s="1"/>
  <c r="K83" i="43"/>
  <c r="E36" i="3"/>
  <c r="E308" i="3"/>
  <c r="F66" i="71"/>
  <c r="Q67" i="71"/>
  <c r="C26" i="71"/>
  <c r="D26" i="71" s="1"/>
  <c r="D27" i="71"/>
  <c r="AB23" i="36"/>
  <c r="U23" i="36"/>
  <c r="AB34" i="35"/>
  <c r="U34" i="35"/>
  <c r="E15" i="71"/>
  <c r="E14" i="71" s="1"/>
  <c r="E13" i="71" s="1"/>
  <c r="E12" i="71" s="1"/>
  <c r="V16" i="71"/>
  <c r="AE6" i="3"/>
  <c r="E481" i="3"/>
  <c r="E330" i="3"/>
  <c r="E262" i="3"/>
  <c r="E461" i="3"/>
  <c r="E428" i="3"/>
  <c r="N94" i="46"/>
  <c r="E454" i="3"/>
  <c r="E587" i="3"/>
  <c r="E472" i="3"/>
  <c r="E133" i="3"/>
  <c r="AK6" i="3"/>
  <c r="E453" i="3"/>
  <c r="E170" i="3"/>
  <c r="E507" i="3"/>
  <c r="E502" i="3"/>
  <c r="E344" i="3"/>
  <c r="E437" i="3"/>
  <c r="E177" i="3"/>
  <c r="E128" i="3"/>
  <c r="E122" i="3"/>
  <c r="J6" i="3"/>
  <c r="E103" i="3"/>
  <c r="E529" i="3"/>
  <c r="E224" i="3"/>
  <c r="E352" i="3"/>
  <c r="E77" i="3"/>
  <c r="E178" i="3"/>
  <c r="E492" i="3"/>
  <c r="E146" i="3"/>
  <c r="E468" i="3"/>
  <c r="E465" i="3"/>
  <c r="E560" i="3"/>
  <c r="E277" i="3"/>
  <c r="E545" i="3"/>
  <c r="E242" i="3"/>
  <c r="E165" i="3"/>
  <c r="E351" i="3"/>
  <c r="E111" i="3"/>
  <c r="E450" i="3"/>
  <c r="E457" i="3"/>
  <c r="E573" i="3"/>
  <c r="E45" i="3"/>
  <c r="E314" i="3"/>
  <c r="L6" i="3"/>
  <c r="E297" i="3"/>
  <c r="E274" i="3"/>
  <c r="E73" i="3"/>
  <c r="E429" i="3"/>
  <c r="E424" i="3"/>
  <c r="Q6" i="3"/>
  <c r="E120" i="3"/>
  <c r="E434" i="3"/>
  <c r="E299" i="3"/>
  <c r="E244" i="3"/>
  <c r="E89" i="3"/>
  <c r="E74" i="3"/>
  <c r="E214" i="3"/>
  <c r="E106" i="3"/>
  <c r="E577" i="3"/>
  <c r="E406" i="3"/>
  <c r="K6" i="3"/>
  <c r="E228" i="3"/>
  <c r="E85" i="3"/>
  <c r="E265" i="3"/>
  <c r="E40" i="3"/>
  <c r="E364" i="3"/>
  <c r="E212" i="3"/>
  <c r="E13" i="3"/>
  <c r="E47" i="3"/>
  <c r="E416" i="3"/>
  <c r="E575" i="3"/>
  <c r="E18" i="3"/>
  <c r="E154" i="3"/>
  <c r="E110" i="3"/>
  <c r="E34" i="3"/>
  <c r="E16" i="3"/>
  <c r="E98" i="3"/>
  <c r="E346" i="3"/>
  <c r="E42" i="3"/>
  <c r="E255" i="3"/>
  <c r="E83" i="3"/>
  <c r="E493" i="3"/>
  <c r="E209" i="3"/>
  <c r="E554" i="3"/>
  <c r="E197" i="3"/>
  <c r="E536" i="3"/>
  <c r="E188" i="3"/>
  <c r="E329" i="3"/>
  <c r="E540" i="3"/>
  <c r="E220" i="3"/>
  <c r="E491" i="3"/>
  <c r="E405" i="3"/>
  <c r="E499" i="3"/>
  <c r="E440" i="3"/>
  <c r="E223" i="3"/>
  <c r="E100" i="3"/>
  <c r="E522" i="3"/>
  <c r="E152" i="3"/>
  <c r="E470" i="3"/>
  <c r="E430" i="3"/>
  <c r="E108" i="3"/>
  <c r="E543" i="3"/>
  <c r="E194" i="3"/>
  <c r="AF6" i="3"/>
  <c r="E409" i="3"/>
  <c r="E339" i="3"/>
  <c r="E76" i="3"/>
  <c r="E524" i="3"/>
  <c r="E64" i="3"/>
  <c r="E486" i="3"/>
  <c r="E490" i="3"/>
  <c r="E392" i="3"/>
  <c r="E376" i="3"/>
  <c r="E300" i="3"/>
  <c r="AD6" i="3"/>
  <c r="E267" i="3"/>
  <c r="E463" i="3"/>
  <c r="E181" i="3"/>
  <c r="E483" i="3"/>
  <c r="E147" i="3"/>
  <c r="AQ6" i="3"/>
  <c r="E67" i="3"/>
  <c r="E58" i="3"/>
  <c r="E542" i="3"/>
  <c r="E467" i="3"/>
  <c r="E391" i="3"/>
  <c r="E525" i="3"/>
  <c r="E50" i="3"/>
  <c r="E378" i="3"/>
  <c r="E323" i="3"/>
  <c r="E199" i="3"/>
  <c r="E484" i="3"/>
  <c r="E141" i="3"/>
  <c r="E521" i="3"/>
  <c r="E564" i="3"/>
  <c r="E105" i="3"/>
  <c r="E541" i="3"/>
  <c r="E200" i="3"/>
  <c r="E324" i="3"/>
  <c r="E360" i="3"/>
  <c r="E167" i="3"/>
  <c r="E462" i="3"/>
  <c r="E116" i="3"/>
  <c r="E442" i="3"/>
  <c r="E160" i="3"/>
  <c r="E464" i="3"/>
  <c r="E195" i="3"/>
  <c r="E419" i="3"/>
  <c r="AH6" i="3"/>
  <c r="E113" i="3"/>
  <c r="E104" i="3"/>
  <c r="E421" i="3"/>
  <c r="E138" i="3"/>
  <c r="E498" i="3"/>
  <c r="I3" i="6"/>
  <c r="E371" i="3"/>
  <c r="E566" i="3"/>
  <c r="E386" i="3"/>
  <c r="E276" i="3"/>
  <c r="E202" i="3"/>
  <c r="E281" i="3"/>
  <c r="E398" i="3"/>
  <c r="E248" i="3"/>
  <c r="E401" i="3"/>
  <c r="E517" i="3"/>
  <c r="E23" i="3"/>
  <c r="E413" i="3"/>
  <c r="E66" i="3"/>
  <c r="E43" i="3"/>
  <c r="E372" i="3"/>
  <c r="E62" i="3"/>
  <c r="E333" i="3"/>
  <c r="E56" i="3"/>
  <c r="E184" i="3"/>
  <c r="E427" i="3"/>
  <c r="E129" i="3"/>
  <c r="E374" i="3"/>
  <c r="E307" i="3"/>
  <c r="E119" i="3"/>
  <c r="E417" i="3"/>
  <c r="E33" i="3"/>
  <c r="E436" i="3"/>
  <c r="E87" i="3"/>
  <c r="E38" i="3"/>
  <c r="E15" i="3"/>
  <c r="E381" i="3"/>
  <c r="E226" i="3"/>
  <c r="E232" i="3"/>
  <c r="E582" i="3"/>
  <c r="E584" i="3"/>
  <c r="E473" i="3"/>
  <c r="E37" i="3"/>
  <c r="E233" i="3"/>
  <c r="E57" i="3"/>
  <c r="E284" i="3"/>
  <c r="E137" i="3"/>
  <c r="E219" i="3"/>
  <c r="E258" i="3"/>
  <c r="E81" i="3"/>
  <c r="E79" i="3"/>
  <c r="E422" i="3"/>
  <c r="E520" i="3"/>
  <c r="E48" i="3"/>
  <c r="E234" i="3"/>
  <c r="E132" i="3"/>
  <c r="E68" i="3"/>
  <c r="E155" i="3"/>
  <c r="E51" i="3"/>
  <c r="E325" i="3"/>
  <c r="E52" i="3"/>
  <c r="F26" i="43"/>
  <c r="E512" i="3"/>
  <c r="E176" i="3"/>
  <c r="E363" i="3"/>
  <c r="E283" i="3"/>
  <c r="E289" i="3"/>
  <c r="E25" i="3"/>
  <c r="E90" i="3"/>
  <c r="E250" i="3"/>
  <c r="E112" i="3"/>
  <c r="E241" i="3"/>
  <c r="E118" i="3"/>
  <c r="E259" i="3"/>
  <c r="E179" i="3"/>
  <c r="E123" i="3"/>
  <c r="E340" i="3"/>
  <c r="K16" i="1"/>
  <c r="E253" i="3"/>
  <c r="E393" i="3"/>
  <c r="E455" i="3"/>
  <c r="E198" i="3"/>
  <c r="E539" i="3"/>
  <c r="E544" i="3"/>
  <c r="E21" i="3"/>
  <c r="E205" i="3"/>
  <c r="E60" i="3"/>
  <c r="E187" i="3"/>
  <c r="Y6" i="3"/>
  <c r="E365" i="3"/>
  <c r="E349" i="3"/>
  <c r="E309" i="3"/>
  <c r="E375" i="3"/>
  <c r="E373" i="3"/>
  <c r="E20" i="3"/>
  <c r="E510" i="3"/>
  <c r="E296" i="3"/>
  <c r="E456" i="3"/>
  <c r="E494" i="3"/>
  <c r="E139" i="3"/>
  <c r="E94" i="3"/>
  <c r="E190" i="3"/>
  <c r="E35" i="3"/>
  <c r="E102" i="3"/>
  <c r="E140" i="3"/>
  <c r="E225" i="3"/>
  <c r="E75" i="3"/>
  <c r="E86" i="3"/>
  <c r="E80" i="3"/>
  <c r="E243" i="3"/>
  <c r="E158" i="3"/>
  <c r="E451" i="3"/>
  <c r="E26" i="3"/>
  <c r="E332" i="3"/>
  <c r="E412" i="3"/>
  <c r="E235" i="3"/>
  <c r="E206" i="3"/>
  <c r="E287" i="3"/>
  <c r="E500" i="3"/>
  <c r="E504" i="3"/>
  <c r="E354" i="3"/>
  <c r="E82" i="3"/>
  <c r="E148" i="3"/>
  <c r="E466" i="3"/>
  <c r="E435" i="3"/>
  <c r="E192" i="3"/>
  <c r="E59" i="3"/>
  <c r="E142" i="3"/>
  <c r="E84" i="3"/>
  <c r="E63" i="3"/>
  <c r="E452" i="3"/>
  <c r="E174" i="3"/>
  <c r="E408" i="3"/>
  <c r="E49" i="3"/>
  <c r="E131" i="3"/>
  <c r="E341" i="3"/>
  <c r="E469" i="3"/>
  <c r="E275" i="3"/>
  <c r="E149" i="3"/>
  <c r="E487" i="3"/>
  <c r="E460" i="3"/>
  <c r="E240" i="3"/>
  <c r="E488" i="3"/>
  <c r="E163" i="3"/>
  <c r="E24" i="3"/>
  <c r="E19" i="3"/>
  <c r="E173" i="3"/>
  <c r="E420" i="3"/>
  <c r="E482" i="3"/>
  <c r="E264" i="3"/>
  <c r="E286" i="3"/>
  <c r="E449" i="3"/>
  <c r="E479" i="3"/>
  <c r="E292" i="3"/>
  <c r="E425" i="3"/>
  <c r="E249" i="3"/>
  <c r="E144" i="3"/>
  <c r="E369" i="3"/>
  <c r="E552" i="3"/>
  <c r="E312" i="3"/>
  <c r="E459" i="3"/>
  <c r="E39" i="3"/>
  <c r="E348" i="3"/>
  <c r="E446" i="3"/>
  <c r="E266" i="3"/>
  <c r="E127" i="3"/>
  <c r="E222" i="3"/>
  <c r="E534" i="3"/>
  <c r="E556" i="3"/>
  <c r="E41" i="3"/>
  <c r="E356" i="3"/>
  <c r="E96" i="3"/>
  <c r="E383" i="3"/>
  <c r="E251" i="3"/>
  <c r="E326" i="3"/>
  <c r="R6" i="3"/>
  <c r="AP6" i="3"/>
  <c r="E95" i="3"/>
  <c r="E389" i="3"/>
  <c r="E46" i="3"/>
  <c r="E310" i="3"/>
  <c r="E355" i="3"/>
  <c r="E513" i="3"/>
  <c r="T6" i="3"/>
  <c r="E497" i="3"/>
  <c r="E115" i="3"/>
  <c r="AL6" i="3"/>
  <c r="E78" i="3"/>
  <c r="E342" i="3"/>
  <c r="E370" i="3"/>
  <c r="E22" i="3"/>
  <c r="E65" i="3"/>
  <c r="H26" i="43"/>
  <c r="N370" i="46"/>
  <c r="E26" i="43"/>
  <c r="J26" i="43"/>
  <c r="E59" i="40"/>
  <c r="D18" i="53"/>
  <c r="B35" i="72"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C30" i="37" s="1"/>
  <c r="M14" i="1"/>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F41" i="67"/>
  <c r="J30" i="37" l="1"/>
  <c r="F30" i="37"/>
  <c r="H30" i="37"/>
  <c r="D56" i="71"/>
  <c r="T56" i="71"/>
  <c r="D26" i="43"/>
  <c r="C25" i="43" s="1"/>
  <c r="C17" i="71"/>
  <c r="D18" i="71"/>
  <c r="D36" i="71"/>
  <c r="T36" i="71"/>
  <c r="P65" i="71"/>
  <c r="P66" i="71"/>
  <c r="N66" i="71"/>
  <c r="N65" i="71"/>
  <c r="B40" i="1"/>
  <c r="L36" i="43" s="1"/>
  <c r="P36" i="43" s="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48" i="67" s="1"/>
  <c r="C53" i="15"/>
  <c r="C48" i="15" s="1"/>
  <c r="C66" i="15" s="1"/>
  <c r="F41" i="15"/>
  <c r="M27" i="15"/>
  <c r="M27" i="67"/>
  <c r="R42" i="37" l="1"/>
  <c r="AA30" i="37"/>
  <c r="S30" i="37"/>
  <c r="C16" i="71"/>
  <c r="D17" i="71"/>
  <c r="AB30" i="37"/>
  <c r="T42" i="37" s="1"/>
  <c r="G42" i="37" s="1"/>
  <c r="U30" i="37"/>
  <c r="AC30" i="37"/>
  <c r="V42" i="37" s="1"/>
  <c r="I42" i="37" s="1"/>
  <c r="I46" i="37" s="1"/>
  <c r="J46" i="37" s="1"/>
  <c r="W30" i="37"/>
  <c r="F25" i="12"/>
  <c r="L37" i="43"/>
  <c r="P37" i="43" s="1"/>
  <c r="F22" i="68"/>
  <c r="C44" i="68" s="1"/>
  <c r="D41" i="68" s="1"/>
  <c r="F24" i="67"/>
  <c r="C24" i="67" s="1"/>
  <c r="F24" i="15"/>
  <c r="C24" i="15" s="1"/>
  <c r="F22" i="11"/>
  <c r="C44" i="11" s="1"/>
  <c r="D41" i="11" s="1"/>
  <c r="F22" i="69"/>
  <c r="F41" i="69" s="1"/>
  <c r="O36" i="43"/>
  <c r="N36" i="43"/>
  <c r="M36" i="43"/>
  <c r="Q36" i="43"/>
  <c r="E83" i="43"/>
  <c r="B81" i="43" s="1"/>
  <c r="C28" i="43" s="1"/>
  <c r="D116" i="43"/>
  <c r="E49" i="3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8"/>
  <c r="D22" i="68" s="1"/>
  <c r="C26" i="12"/>
  <c r="D25" i="12" s="1"/>
  <c r="C66" i="67"/>
  <c r="C60" i="67"/>
  <c r="D10" i="69"/>
  <c r="C34" i="69"/>
  <c r="D10" i="68"/>
  <c r="C14" i="67"/>
  <c r="C17" i="15"/>
  <c r="C17" i="67"/>
  <c r="O37" i="43" l="1"/>
  <c r="M37" i="43"/>
  <c r="C26" i="69"/>
  <c r="D22" i="69" s="1"/>
  <c r="N37" i="43"/>
  <c r="Q37" i="43"/>
  <c r="G46" i="37"/>
  <c r="H46" i="37" s="1"/>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6" i="69" s="1"/>
  <c r="C7" i="69" s="1"/>
  <c r="C37" i="43"/>
  <c r="D30" i="6"/>
  <c r="C25" i="11"/>
  <c r="H24" i="6"/>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U6" i="1" s="1"/>
  <c r="C42" i="37"/>
  <c r="I48" i="35"/>
  <c r="C48" i="33"/>
  <c r="C49" i="33"/>
  <c r="H58" i="21"/>
  <c r="E47" i="37"/>
  <c r="F47" i="37" s="1"/>
  <c r="E46" i="37"/>
  <c r="F46" i="37" s="1"/>
  <c r="I47" i="37"/>
  <c r="J47" i="37" s="1"/>
  <c r="E53" i="33"/>
  <c r="F53" i="33" s="1"/>
  <c r="E52" i="33"/>
  <c r="F52" i="33" s="1"/>
  <c r="J19" i="67"/>
  <c r="C34" i="68"/>
  <c r="C14" i="15"/>
  <c r="F6" i="15"/>
  <c r="F6" i="67"/>
  <c r="C14" i="71" l="1"/>
  <c r="D15" i="71"/>
  <c r="C6" i="67"/>
  <c r="C6" i="15"/>
  <c r="C22" i="11"/>
  <c r="C31" i="11" s="1"/>
  <c r="E37" i="43"/>
  <c r="G37" i="43"/>
  <c r="I37" i="43" s="1"/>
  <c r="E39" i="43"/>
  <c r="G39" i="43"/>
  <c r="I39" i="43" s="1"/>
  <c r="E41" i="43"/>
  <c r="G41" i="43"/>
  <c r="I41" i="43" s="1"/>
  <c r="C6" i="68"/>
  <c r="C7" i="68" s="1"/>
  <c r="C34" i="43"/>
  <c r="E34" i="43" s="1"/>
  <c r="E33" i="43"/>
  <c r="G38" i="43"/>
  <c r="I38" i="43" s="1"/>
  <c r="E38" i="43"/>
  <c r="E42" i="43"/>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D14" i="71" l="1"/>
  <c r="C13" i="71"/>
  <c r="C32" i="15"/>
  <c r="C10" i="15"/>
  <c r="C5" i="15" s="1"/>
  <c r="C38" i="15" s="1"/>
  <c r="C33" i="15"/>
  <c r="C32" i="67"/>
  <c r="C10" i="67"/>
  <c r="C5" i="67" s="1"/>
  <c r="C38" i="67" s="1"/>
  <c r="C33" i="67"/>
  <c r="C5" i="68"/>
  <c r="C23" i="68" s="1"/>
  <c r="J7" i="21"/>
  <c r="C31" i="43"/>
  <c r="C30" i="43"/>
  <c r="C21" i="12"/>
  <c r="C22" i="12"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D13" i="71" l="1"/>
  <c r="C12" i="71"/>
  <c r="J7" i="35"/>
  <c r="C20" i="68"/>
  <c r="C28" i="68" s="1"/>
  <c r="C27" i="68" s="1"/>
  <c r="C27" i="12"/>
  <c r="C25" i="12" s="1"/>
  <c r="C32" i="12" s="1"/>
  <c r="B2" i="12" s="1"/>
  <c r="B3" i="12" s="1"/>
  <c r="E2" i="76"/>
  <c r="B2" i="43"/>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B6" i="76"/>
  <c r="F35" i="67"/>
  <c r="F35" i="15"/>
  <c r="M21" i="67"/>
  <c r="C11" i="71" l="1"/>
  <c r="D12" i="71"/>
  <c r="U12" i="71" s="1"/>
  <c r="T12" i="71"/>
  <c r="C25" i="68"/>
  <c r="C22" i="68" s="1"/>
  <c r="C31" i="68" s="1"/>
  <c r="B2" i="76"/>
  <c r="B3" i="76" s="1"/>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 i="71" l="1"/>
  <c r="D11" i="71"/>
  <c r="C52" i="68"/>
  <c r="B2" i="68" s="1"/>
  <c r="B3" i="68"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10" i="71" l="1"/>
  <c r="C9"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8" i="71" l="1"/>
  <c r="D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C7" i="71" l="1"/>
  <c r="D8"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9" i="1"/>
  <c r="AO10" i="1"/>
  <c r="AO8" i="1"/>
  <c r="AO7" i="1"/>
  <c r="D7" i="71" l="1"/>
  <c r="C6"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6" i="71" l="1"/>
  <c r="C5" i="71"/>
  <c r="D5" i="71" s="1"/>
  <c r="M24" i="43" s="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G21" i="9" l="1"/>
  <c r="D14" i="74"/>
  <c r="G14" i="74"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119" i="9" s="1"/>
  <c r="F5" i="52" s="1"/>
  <c r="B53" i="72" s="1"/>
  <c r="D118" i="9"/>
  <c r="D4" i="52" s="1"/>
  <c r="B47" i="72" s="1"/>
  <c r="H118" i="9"/>
  <c r="H4" i="52" s="1"/>
  <c r="F4" i="52" l="1"/>
  <c r="B51" i="72" s="1"/>
  <c r="H101" i="9"/>
  <c r="D119" i="9"/>
  <c r="D5" i="52" s="1"/>
  <c r="B49" i="72" s="1"/>
  <c r="G118" i="9"/>
  <c r="G4" i="52" s="1"/>
  <c r="B52" i="72" s="1"/>
  <c r="I118" i="9"/>
  <c r="C104" i="9"/>
  <c r="H119" i="9"/>
  <c r="H5" i="52" s="1"/>
  <c r="C105" i="9" l="1"/>
  <c r="H102" i="9"/>
  <c r="E118" i="9"/>
  <c r="E4" i="52" s="1"/>
  <c r="B48" i="72" s="1"/>
  <c r="I4" i="52"/>
  <c r="D5" i="53"/>
  <c r="D45" i="9"/>
  <c r="M48" i="9"/>
  <c r="H107" i="9"/>
  <c r="M49" i="9" s="1"/>
  <c r="L65" i="9" l="1"/>
  <c r="M65" i="9" s="1"/>
  <c r="L64" i="9"/>
  <c r="M64" i="9" s="1"/>
  <c r="L67" i="9"/>
  <c r="M67" i="9" s="1"/>
  <c r="L68" i="9"/>
  <c r="M68" i="9" s="1"/>
  <c r="L66" i="9"/>
  <c r="M66" i="9" s="1"/>
  <c r="L63" i="9"/>
  <c r="M63" i="9" s="1"/>
  <c r="C64" i="9"/>
  <c r="C63" i="9" s="1"/>
  <c r="C67" i="9" s="1"/>
  <c r="D55" i="9"/>
  <c r="M53" i="9" s="1"/>
  <c r="C78" i="9"/>
  <c r="C73" i="9" s="1"/>
  <c r="C85" i="9"/>
  <c r="C93" i="9"/>
  <c r="C86" i="9" s="1"/>
  <c r="C72" i="9"/>
  <c r="D52" i="9"/>
  <c r="D53" i="9"/>
  <c r="D122" i="9"/>
  <c r="H108" i="9"/>
  <c r="D13" i="53"/>
  <c r="D6" i="53"/>
  <c r="B22" i="72" s="1"/>
  <c r="B20" i="72"/>
  <c r="D7" i="53"/>
  <c r="B21" i="72" s="1"/>
  <c r="C5" i="74"/>
  <c r="M69" i="9" l="1"/>
  <c r="N69" i="9" s="1"/>
  <c r="C79" i="9"/>
  <c r="C80" i="9" s="1"/>
  <c r="B30" i="72"/>
  <c r="D14" i="53"/>
  <c r="B32" i="72" s="1"/>
  <c r="D123" i="9"/>
  <c r="D9" i="52" s="1"/>
  <c r="D8" i="52"/>
  <c r="C95" i="9"/>
  <c r="D15" i="53"/>
  <c r="B31" i="72" s="1"/>
  <c r="C6" i="74"/>
  <c r="D59" i="9"/>
  <c r="M55" i="9" s="1"/>
  <c r="C68" i="9"/>
  <c r="D54" i="9" s="1"/>
  <c r="E80" i="9" l="1"/>
  <c r="E81" i="9" s="1"/>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<sst xmlns="http://schemas.openxmlformats.org/spreadsheetml/2006/main" count="7873" uniqueCount="3425">
  <si>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</si>
  <si>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</si>
  <si>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</si>
  <si>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</si>
  <si>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</si>
  <si>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</si>
  <si>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</si>
  <si>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</si>
  <si>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</si>
  <si>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</si>
  <si>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</si>
  <si>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</si>
  <si>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</si>
  <si>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</si>
  <si>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</si>
  <si>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</si>
  <si>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</si>
  <si>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</si>
  <si>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</si>
  <si>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</si>
  <si>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</si>
  <si>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</si>
  <si>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</si>
  <si>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</si>
  <si>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</si>
  <si>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</si>
  <si>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</si>
  <si>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</si>
  <si>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</si>
  <si>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</si>
  <si>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</si>
  <si>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</si>
  <si>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</si>
  <si>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</si>
  <si>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</si>
  <si>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</si>
  <si>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</si>
  <si>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</si>
  <si>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</si>
  <si>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</si>
  <si>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</si>
  <si>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</si>
  <si>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</si>
  <si>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</si>
  <si>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</si>
  <si>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</si>
  <si>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</si>
  <si>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</si>
  <si>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</si>
  <si>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</si>
  <si>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</si>
  <si>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</si>
  <si>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</si>
  <si>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</si>
  <si>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</si>
  <si>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</si>
  <si>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</si>
  <si>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</si>
  <si>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</si>
  <si>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</si>
  <si>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</si>
  <si>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</si>
  <si>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</si>
  <si>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</si>
  <si>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</si>
  <si>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</si>
  <si>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</si>
  <si>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</si>
  <si>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</si>
  <si>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</si>
  <si>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</si>
  <si>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</si>
  <si>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</si>
  <si>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</si>
  <si>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</si>
  <si>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</si>
  <si>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</si>
  <si>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</si>
  <si>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</si>
  <si>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</si>
  <si>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</si>
  <si>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</si>
  <si>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</si>
  <si>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</si>
  <si>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</si>
  <si>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</si>
  <si>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</si>
  <si>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</si>
  <si>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</si>
  <si>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</si>
  <si>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</si>
  <si>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</si>
  <si>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</si>
  <si>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</si>
  <si>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</si>
  <si>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</si>
  <si>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</si>
  <si>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</si>
  <si>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</si>
  <si>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</si>
  <si>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</si>
  <si>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</si>
  <si>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</si>
  <si>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</si>
  <si>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</si>
  <si>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</si>
  <si>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</si>
  <si>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</si>
  <si>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</si>
  <si>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</si>
  <si>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</si>
  <si>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</si>
  <si>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</si>
  <si>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</si>
  <si>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</si>
  <si>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</si>
  <si>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</si>
  <si>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</si>
  <si>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</si>
  <si>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</si>
  <si>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</si>
  <si>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</si>
  <si>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</si>
  <si>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</si>
  <si>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</si>
  <si>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</si>
  <si>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</si>
  <si>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</si>
  <si>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</si>
  <si>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</si>
  <si>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</si>
  <si>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</si>
  <si>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</si>
  <si>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</si>
  <si>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</si>
  <si>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</si>
  <si>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</si>
  <si>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</si>
  <si>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</si>
  <si>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</si>
  <si>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</si>
  <si>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</si>
  <si>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</si>
  <si>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</si>
  <si>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</si>
  <si>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</si>
  <si>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</si>
  <si>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</si>
  <si>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</si>
  <si>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</si>
  <si>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</si>
  <si>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</si>
  <si>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</si>
  <si>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</si>
  <si>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</si>
  <si>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</si>
  <si>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</si>
  <si>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</si>
  <si>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</si>
  <si>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</si>
  <si>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</si>
  <si>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</si>
  <si>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</si>
  <si>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</si>
  <si>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</si>
  <si>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</si>
  <si>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</si>
  <si>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</si>
  <si>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</si>
  <si>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</si>
  <si>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</si>
  <si>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</si>
  <si>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</si>
  <si>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</si>
  <si>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</si>
  <si>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</si>
  <si>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</si>
  <si>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</si>
  <si>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</si>
  <si>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</si>
  <si>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</si>
  <si>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</si>
  <si>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</si>
  <si>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</si>
  <si>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</si>
  <si>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</si>
  <si>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</si>
  <si>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</si>
  <si>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</si>
  <si>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</si>
  <si>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</si>
  <si>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</si>
  <si>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</si>
  <si>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</si>
  <si>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</si>
  <si>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</si>
  <si>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</si>
  <si>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</si>
  <si>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</si>
  <si>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</si>
  <si>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</si>
  <si>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</si>
  <si>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</si>
  <si>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</si>
  <si>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</si>
  <si>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</si>
  <si>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</si>
  <si>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</si>
  <si>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</si>
  <si>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</si>
  <si>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</si>
  <si>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</si>
  <si>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</si>
  <si>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</si>
  <si>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</si>
  <si>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</si>
  <si>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</si>
  <si>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</si>
  <si>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</si>
  <si>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</si>
  <si>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</si>
  <si>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</si>
  <si>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</si>
  <si>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</si>
  <si>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</si>
  <si>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</si>
  <si>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</si>
  <si>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</si>
  <si>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</si>
  <si>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</si>
  <si>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</si>
  <si>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</si>
  <si>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</si>
  <si>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</si>
  <si>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</si>
  <si>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</si>
  <si>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</si>
  <si>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</si>
  <si>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</si>
  <si>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</si>
  <si>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</si>
  <si>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</si>
  <si>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</si>
  <si>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</si>
  <si>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</si>
  <si>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</si>
  <si>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</si>
  <si>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</si>
  <si>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</si>
  <si>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</si>
  <si>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</si>
  <si>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</si>
  <si>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</si>
  <si>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</si>
  <si>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</si>
  <si>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</si>
  <si>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</si>
  <si>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</si>
  <si>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</si>
  <si>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</si>
  <si>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</si>
  <si>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</si>
  <si>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</si>
  <si>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</si>
  <si>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</si>
  <si>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</si>
  <si>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</si>
  <si>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</si>
  <si>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</si>
  <si>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</si>
  <si>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</si>
  <si>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</si>
  <si>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</si>
  <si>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</si>
  <si>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</si>
  <si>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</si>
  <si>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</si>
  <si>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</si>
  <si>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</si>
  <si>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</si>
  <si>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</si>
  <si>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</si>
  <si>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</si>
  <si>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</si>
  <si>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</si>
  <si>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</si>
  <si>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</si>
  <si>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</si>
  <si>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</si>
  <si>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</si>
  <si>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</si>
  <si>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</si>
  <si>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</si>
  <si>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</si>
  <si>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</si>
  <si>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</si>
  <si>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</si>
  <si>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</si>
  <si>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</si>
  <si>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</si>
  <si>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</si>
  <si>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</si>
  <si>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</si>
  <si>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</si>
  <si>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</si>
  <si>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</si>
  <si>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</si>
  <si>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</si>
  <si>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</si>
  <si>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</si>
  <si>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</si>
  <si>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</si>
  <si>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</si>
  <si>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</si>
  <si>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</si>
  <si>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</si>
  <si>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</si>
  <si>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</si>
  <si>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</si>
  <si>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</si>
  <si>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</si>
  <si>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</si>
  <si>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</si>
  <si>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</si>
  <si>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</si>
  <si>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</si>
  <si>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</si>
  <si>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</si>
  <si>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</si>
  <si>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</si>
  <si>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</si>
  <si>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</si>
  <si>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</si>
  <si>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</si>
  <si>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</si>
  <si>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</si>
  <si>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</si>
  <si>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</si>
  <si>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</si>
  <si>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</si>
  <si>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</si>
  <si>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</si>
  <si>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</si>
  <si>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</si>
  <si>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</si>
  <si>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</si>
  <si>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</si>
  <si>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</si>
  <si>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</si>
  <si>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</si>
  <si>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</si>
  <si>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</si>
  <si>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</si>
  <si>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</si>
  <si>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</si>
  <si>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</si>
  <si>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</si>
  <si>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</si>
  <si>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</si>
  <si>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</si>
  <si>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</si>
  <si>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</si>
  <si>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</si>
  <si>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</si>
  <si>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</si>
  <si>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</si>
  <si>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</si>
  <si>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</si>
  <si>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</si>
  <si>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</si>
  <si>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</si>
  <si>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</si>
  <si>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</si>
  <si>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</si>
  <si>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</si>
  <si>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</si>
  <si>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</si>
  <si>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</si>
  <si>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</si>
  <si>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</si>
  <si>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</si>
  <si>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</si>
  <si>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</si>
  <si>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</si>
  <si>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</si>
  <si>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</si>
  <si>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</si>
  <si>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</si>
  <si>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</si>
  <si>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</si>
  <si>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</si>
  <si>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</si>
  <si>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</si>
  <si>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</si>
  <si>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</si>
  <si>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</si>
  <si>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</si>
  <si>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</si>
  <si>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</si>
  <si>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</si>
  <si>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</si>
  <si>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</si>
  <si>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</si>
  <si>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</si>
  <si>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</si>
  <si>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</si>
  <si>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</si>
  <si>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</si>
  <si>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</si>
  <si>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</si>
  <si>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</si>
  <si>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</si>
  <si>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</si>
  <si>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</si>
  <si>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</si>
  <si>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</si>
  <si>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</si>
  <si>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</si>
  <si>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</si>
  <si>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</si>
  <si>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</si>
  <si>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</si>
  <si>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</si>
  <si>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</si>
  <si>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</si>
  <si>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</si>
  <si>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</si>
  <si>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</si>
  <si>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</si>
  <si>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</si>
  <si>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</si>
  <si>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</si>
  <si>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</si>
  <si>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</si>
  <si>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</si>
  <si>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</si>
  <si>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</si>
  <si>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</si>
  <si>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</si>
  <si>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</si>
  <si>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</si>
  <si>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</si>
  <si>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</si>
  <si>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</si>
  <si>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</si>
  <si>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</si>
  <si>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</si>
  <si>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</si>
  <si>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</si>
  <si>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</si>
  <si>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</si>
  <si>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</si>
  <si>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</si>
  <si>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</si>
  <si>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</si>
  <si>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</si>
  <si>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</si>
  <si>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</si>
  <si>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</si>
  <si>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</si>
  <si>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</si>
  <si>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</si>
  <si>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</si>
  <si>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</si>
  <si>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</si>
  <si>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</si>
  <si>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</si>
  <si>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</si>
  <si>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</si>
  <si>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</si>
  <si>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</si>
  <si>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</si>
  <si>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</si>
  <si>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</si>
  <si>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</si>
  <si>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</si>
  <si>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</si>
  <si>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</si>
  <si>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</si>
  <si>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</si>
  <si>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</si>
  <si>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</si>
  <si>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</si>
  <si>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</si>
  <si>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</si>
  <si>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</si>
  <si>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</si>
  <si>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</si>
  <si>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</si>
  <si>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</si>
  <si>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</si>
  <si>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</si>
  <si>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</si>
  <si>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</si>
  <si>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</si>
  <si>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</si>
  <si>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</si>
  <si>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</si>
  <si>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</si>
  <si>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</si>
  <si>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</si>
  <si>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</si>
  <si>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</si>
  <si>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</si>
  <si>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</si>
  <si>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</si>
  <si>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</si>
  <si>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</si>
  <si>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</si>
  <si>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</si>
  <si>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</si>
  <si>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</si>
  <si>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</si>
  <si>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</si>
  <si>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</si>
  <si>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</si>
  <si>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</si>
  <si>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</si>
  <si>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</si>
  <si>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</si>
  <si>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</si>
  <si>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</si>
  <si>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</si>
  <si>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</si>
  <si>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</si>
  <si>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</si>
  <si>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</si>
  <si>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</si>
  <si>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</si>
  <si>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</si>
  <si>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</si>
  <si>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</si>
  <si>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</si>
  <si>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</si>
  <si>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</si>
  <si>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</si>
  <si>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</si>
  <si>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</si>
  <si>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</si>
  <si>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</si>
  <si>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</si>
  <si>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</si>
  <si>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</si>
  <si>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</si>
  <si>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</si>
  <si>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</si>
  <si>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</si>
  <si>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</si>
  <si>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</si>
  <si>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</si>
  <si>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</si>
  <si>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</si>
  <si>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</si>
  <si>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</si>
  <si>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</si>
  <si>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</si>
  <si>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</si>
  <si>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</si>
  <si>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</si>
  <si>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</si>
  <si>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</si>
  <si>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</si>
  <si>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</si>
  <si>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</si>
  <si>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</si>
  <si>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</si>
  <si>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</si>
  <si>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</si>
  <si>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</si>
  <si>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</si>
  <si>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</si>
  <si>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</si>
  <si>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</si>
  <si>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</si>
  <si>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</si>
  <si>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</si>
  <si>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</si>
  <si>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</si>
  <si>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</si>
  <si>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</si>
  <si>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</si>
  <si>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</si>
  <si>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</si>
  <si>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</si>
  <si>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</si>
  <si>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</si>
  <si>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</si>
  <si>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</si>
  <si>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</si>
  <si>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</si>
  <si>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</si>
  <si>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</si>
  <si>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</si>
  <si>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</si>
  <si>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</si>
  <si>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</si>
  <si>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</si>
  <si>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</si>
  <si>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</si>
  <si>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</si>
  <si>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</si>
  <si>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</si>
  <si>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</si>
  <si>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</si>
  <si>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</si>
  <si>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</si>
  <si>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</si>
  <si>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</si>
  <si>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</si>
  <si>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</si>
  <si>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</si>
  <si>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</si>
  <si>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</si>
  <si>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</si>
  <si>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</si>
  <si>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</si>
  <si>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</si>
  <si>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</si>
  <si>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</si>
  <si>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</si>
  <si>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</si>
  <si>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</si>
  <si>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</si>
  <si>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</si>
  <si>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</si>
  <si>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</si>
  <si>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</si>
  <si>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</si>
  <si>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</si>
  <si>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</si>
  <si>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</si>
  <si>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</si>
  <si>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</si>
  <si>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</si>
  <si>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</si>
  <si>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</si>
  <si>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</si>
  <si>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</si>
  <si>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</si>
  <si>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</si>
  <si>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</si>
  <si>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</si>
  <si>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</si>
  <si>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</si>
  <si>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</si>
  <si>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</si>
  <si>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</si>
  <si>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</si>
  <si>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</si>
  <si>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</si>
  <si>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</si>
  <si>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</si>
  <si>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</si>
  <si>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</si>
  <si>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</si>
  <si>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</si>
  <si>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</si>
  <si>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</si>
  <si>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</si>
  <si>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</si>
  <si>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</si>
  <si>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</si>
  <si>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</si>
  <si>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</si>
  <si>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</si>
  <si>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</si>
  <si>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</si>
  <si>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</si>
  <si>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</si>
  <si>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</si>
  <si>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</si>
  <si>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</si>
  <si>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</si>
  <si>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</si>
  <si>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</si>
  <si>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</si>
  <si>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</si>
  <si>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</si>
  <si>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</si>
  <si>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</si>
  <si>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</si>
  <si>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</si>
  <si>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</si>
  <si>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</si>
  <si>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</si>
  <si>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</si>
  <si>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</si>
  <si>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</si>
  <si>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</si>
  <si>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</si>
  <si>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</si>
  <si>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</si>
  <si>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</si>
  <si>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</si>
  <si>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</si>
  <si>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</si>
  <si>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</si>
  <si>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</si>
  <si>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</si>
  <si>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</si>
  <si>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</si>
  <si>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</si>
  <si>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</si>
  <si>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</si>
  <si>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</si>
  <si>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</si>
  <si>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</si>
  <si>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</si>
  <si>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</si>
  <si>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</si>
  <si>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</si>
  <si>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</si>
  <si>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</si>
  <si>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</si>
  <si>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</si>
  <si>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</si>
  <si>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</si>
  <si>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</si>
  <si>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</si>
  <si>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</si>
  <si>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</si>
  <si>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</si>
  <si>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</si>
  <si>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</si>
  <si>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</si>
  <si>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</si>
  <si>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</si>
  <si>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</si>
  <si>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</si>
  <si>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</si>
  <si>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</si>
  <si>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</si>
  <si>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</si>
  <si>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</si>
  <si>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</si>
  <si>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</si>
  <si>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</si>
  <si>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</si>
  <si>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</si>
  <si>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</si>
  <si>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</si>
  <si>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</si>
  <si>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</si>
  <si>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</si>
  <si>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</si>
  <si>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</si>
  <si>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</si>
  <si>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</si>
  <si>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</si>
  <si>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</si>
  <si>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</si>
  <si>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</si>
  <si>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</si>
  <si>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</si>
  <si>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</si>
  <si>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</si>
  <si>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</si>
  <si>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</si>
  <si>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</si>
  <si>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</si>
  <si>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</si>
  <si>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</si>
  <si>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</si>
  <si>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</si>
  <si>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</si>
  <si>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</si>
  <si>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</si>
  <si>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</si>
  <si>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</si>
  <si>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</si>
  <si>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</si>
  <si>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</si>
  <si>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</si>
  <si>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</si>
  <si>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</si>
  <si>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</si>
  <si>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</si>
  <si>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</si>
  <si>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</si>
  <si>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</si>
  <si>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</si>
  <si>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</si>
  <si>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</si>
  <si>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</si>
  <si>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</si>
  <si>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</si>
  <si>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</si>
  <si>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</si>
  <si>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</si>
  <si>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</si>
  <si>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</si>
  <si>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</si>
  <si>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</si>
  <si>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</si>
  <si>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</si>
  <si>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</si>
  <si>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</si>
  <si>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</si>
  <si>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</si>
  <si>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</si>
  <si>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</si>
  <si>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</si>
  <si>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</si>
  <si>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</si>
  <si>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</si>
  <si>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</si>
  <si>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</si>
  <si>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</si>
  <si>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</si>
  <si>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</si>
  <si>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</si>
  <si>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</si>
  <si>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</si>
  <si>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</si>
  <si>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</si>
  <si>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</si>
  <si>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</si>
  <si>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</si>
  <si>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</si>
  <si>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</si>
  <si>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</si>
  <si>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</si>
  <si>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</si>
  <si>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</si>
  <si>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</si>
  <si>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</si>
  <si>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</si>
  <si>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</si>
  <si>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</si>
  <si>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</si>
  <si>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</si>
  <si>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</si>
  <si>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</si>
  <si>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</si>
  <si>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</si>
  <si>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</si>
  <si>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</si>
  <si>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</si>
  <si>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</si>
  <si>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</si>
  <si>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</si>
  <si>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</si>
  <si>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</si>
  <si>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</si>
  <si>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</si>
  <si>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</si>
  <si>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</si>
  <si>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</si>
  <si>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</si>
  <si>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</si>
  <si>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</si>
  <si>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</si>
  <si>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</si>
  <si>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</si>
  <si>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</si>
  <si>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</si>
  <si>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</si>
  <si>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</si>
  <si>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</si>
  <si>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</si>
  <si>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</si>
  <si>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</si>
  <si>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</si>
  <si>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</si>
  <si>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</si>
  <si>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</si>
  <si>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</si>
  <si>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</si>
  <si>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</si>
  <si>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</si>
  <si>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</si>
  <si>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</si>
  <si>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</si>
  <si>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</si>
  <si>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</si>
  <si>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</si>
  <si>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</si>
  <si>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</si>
  <si>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</si>
  <si>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</si>
  <si>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</si>
  <si>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</si>
  <si>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</si>
  <si>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</si>
  <si>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</si>
  <si>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</si>
  <si>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</si>
  <si>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</si>
  <si>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</si>
  <si>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</si>
  <si>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</si>
  <si>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</si>
  <si>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</si>
  <si>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</si>
  <si>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</si>
  <si>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</si>
  <si>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</si>
  <si>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</si>
  <si>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</si>
  <si>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</si>
  <si>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</si>
  <si>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</si>
  <si>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</si>
  <si>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</si>
  <si>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</si>
  <si>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</si>
  <si>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</si>
  <si>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</si>
  <si>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</si>
  <si>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</si>
  <si>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</si>
  <si>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</si>
  <si>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</si>
  <si>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</si>
  <si>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</si>
  <si>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</si>
  <si>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</si>
  <si>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</si>
  <si>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</si>
  <si>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</si>
  <si>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</si>
  <si>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</si>
  <si>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</si>
  <si>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</si>
  <si>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</si>
  <si>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</si>
  <si>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</si>
  <si>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</si>
  <si>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</si>
  <si>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</si>
  <si>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</si>
  <si>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</si>
  <si>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</si>
  <si>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</si>
  <si>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</si>
  <si>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</si>
  <si>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</si>
  <si>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</si>
  <si>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</si>
  <si>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</si>
  <si>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</si>
  <si>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</si>
  <si>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</si>
  <si>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</si>
  <si>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</si>
  <si>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</si>
  <si>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</si>
  <si>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</si>
  <si>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</si>
  <si>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</si>
  <si>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</si>
  <si>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</si>
  <si>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</si>
  <si>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</si>
  <si>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</si>
  <si>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</si>
  <si>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</si>
  <si>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</si>
  <si>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</si>
  <si>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</si>
  <si>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</si>
  <si>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</si>
  <si>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</si>
  <si>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</si>
  <si>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</si>
  <si>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</si>
  <si>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</si>
  <si>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</si>
  <si>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</si>
  <si>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</si>
  <si>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</si>
  <si>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</si>
  <si>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</si>
  <si>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</si>
  <si>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</si>
  <si>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</si>
  <si>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</si>
  <si>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</si>
  <si>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</si>
  <si>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</si>
  <si>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</si>
  <si>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</si>
  <si>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</si>
  <si>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</si>
  <si>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</si>
  <si>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</si>
  <si>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</si>
  <si>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</si>
  <si>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</si>
  <si>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</si>
  <si>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</si>
  <si>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</si>
  <si>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</si>
  <si>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</si>
  <si>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</si>
  <si>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</si>
  <si>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</si>
  <si>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</si>
  <si>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</si>
  <si>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</si>
  <si>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</si>
  <si>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</si>
  <si>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</si>
  <si>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</si>
  <si>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</si>
  <si>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</si>
  <si>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</si>
  <si>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</si>
  <si>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</si>
  <si>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</si>
  <si>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</si>
  <si>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</si>
  <si>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</si>
  <si>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</si>
  <si>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</si>
  <si>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</si>
  <si>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</si>
  <si>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</si>
  <si>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</si>
  <si>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</si>
  <si>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</si>
  <si>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</si>
  <si>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</si>
  <si>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</si>
  <si>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</si>
  <si>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</si>
  <si>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</si>
  <si>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</si>
  <si>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</si>
  <si>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</si>
  <si>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</si>
  <si>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</si>
  <si>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</si>
  <si>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</si>
  <si>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</si>
  <si>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</si>
  <si>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</si>
  <si>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</si>
  <si>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</si>
  <si>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</si>
  <si>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</si>
  <si>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</si>
  <si>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</si>
  <si>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</si>
  <si>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</si>
  <si>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</si>
  <si>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</si>
  <si>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</si>
  <si>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</si>
  <si>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</si>
  <si>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</si>
  <si>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</si>
  <si>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</si>
  <si>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</si>
  <si>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</si>
  <si>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</si>
  <si>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</si>
  <si>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</si>
  <si>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</si>
  <si>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</si>
  <si>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</si>
  <si>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</si>
  <si>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</si>
  <si>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</si>
  <si>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</si>
  <si>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</si>
  <si>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</si>
  <si>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</si>
  <si>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</si>
  <si>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</si>
  <si>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</si>
  <si>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</si>
  <si>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</si>
  <si>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</si>
  <si>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</si>
  <si>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</si>
  <si>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</si>
  <si>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</si>
  <si>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</si>
  <si>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</si>
  <si>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</si>
  <si>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</si>
  <si>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</si>
  <si>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</si>
  <si>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</si>
  <si>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</si>
  <si>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</si>
  <si>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</si>
  <si>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</si>
  <si>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</si>
  <si>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</si>
  <si>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</si>
  <si>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</si>
  <si>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</si>
  <si>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</si>
  <si>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</si>
  <si>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</si>
  <si>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</si>
  <si>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</si>
  <si>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</si>
  <si>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</si>
  <si>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</si>
  <si>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</si>
  <si>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</si>
  <si>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</si>
  <si>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</si>
  <si>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</si>
  <si>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</si>
  <si>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</si>
  <si>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</si>
  <si>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</si>
  <si>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</si>
  <si>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</si>
  <si>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</si>
  <si>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</si>
  <si>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</si>
  <si>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</si>
  <si>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</si>
  <si>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</si>
  <si>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</si>
  <si>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</si>
  <si>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</si>
  <si>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</si>
  <si>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</si>
  <si>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</si>
  <si>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</si>
  <si>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</si>
  <si>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</si>
  <si>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</si>
  <si>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</si>
  <si>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</si>
  <si>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</si>
  <si>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</si>
  <si>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</si>
  <si>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</si>
  <si>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</si>
  <si>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</si>
  <si>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</si>
  <si>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</si>
  <si>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</si>
  <si>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</si>
  <si>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</si>
  <si>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</si>
  <si>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</si>
  <si>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</si>
  <si>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</si>
  <si>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</si>
  <si>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</si>
  <si>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</si>
  <si>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</si>
  <si>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</si>
  <si>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</si>
  <si>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</si>
  <si>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</si>
  <si>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</si>
  <si>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</si>
  <si>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</si>
  <si>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</si>
  <si>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</si>
  <si>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</si>
  <si>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</si>
  <si>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</si>
  <si>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</si>
  <si>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</si>
  <si>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</si>
  <si>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</si>
  <si>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</si>
  <si>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</si>
  <si>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</si>
  <si>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</si>
  <si>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</si>
  <si>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</si>
  <si>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</si>
  <si>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</si>
  <si>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</si>
  <si>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</si>
  <si>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</si>
  <si>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</si>
  <si>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</si>
  <si>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</si>
  <si>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</si>
  <si>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</si>
  <si>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</si>
  <si>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</si>
  <si>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</si>
  <si>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</si>
  <si>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</si>
  <si>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</si>
  <si>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</si>
  <si>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</si>
  <si>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</si>
  <si>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</si>
  <si>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</si>
  <si>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</si>
  <si>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</si>
  <si>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</si>
  <si>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</si>
  <si>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</si>
  <si>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</si>
  <si>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</si>
  <si>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</si>
  <si>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</si>
  <si>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</si>
  <si>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</si>
  <si>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</si>
  <si>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</si>
  <si>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</si>
  <si>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</si>
  <si>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</si>
  <si>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</si>
  <si>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</si>
  <si>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</si>
  <si>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</si>
  <si>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</si>
  <si>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</si>
  <si>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</si>
  <si>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</si>
  <si>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</si>
  <si>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</si>
  <si>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</si>
  <si>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</si>
  <si>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</si>
  <si>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</si>
  <si>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</si>
  <si>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</si>
  <si>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</si>
  <si>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</si>
  <si>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</si>
  <si>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</si>
  <si>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</si>
  <si>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</si>
  <si>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</si>
  <si>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</si>
  <si>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</si>
  <si>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</si>
  <si>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</si>
  <si>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</si>
  <si>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</si>
  <si>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</si>
  <si>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</si>
  <si>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</si>
  <si>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</si>
  <si>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</si>
  <si>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</si>
  <si>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</si>
  <si>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</si>
  <si>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</si>
  <si>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</si>
  <si>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</si>
  <si>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</si>
  <si>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</si>
  <si>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</si>
  <si>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</si>
  <si>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</si>
  <si>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</si>
  <si>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</si>
  <si>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</si>
  <si>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</si>
  <si>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</si>
  <si>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</si>
  <si>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</si>
  <si>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</si>
  <si>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</si>
  <si>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</si>
  <si>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</si>
  <si>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</si>
  <si>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</si>
  <si>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</si>
  <si>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</si>
  <si>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</si>
  <si>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</si>
  <si>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</si>
  <si>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</si>
  <si>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</si>
  <si>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</si>
  <si>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</si>
  <si>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</si>
  <si>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</si>
  <si>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</si>
  <si>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</si>
  <si>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</si>
  <si>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</si>
  <si>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</si>
  <si>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</si>
  <si>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</si>
  <si>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</si>
  <si>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</si>
  <si>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</si>
  <si>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</si>
  <si>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</si>
  <si>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</si>
  <si>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</si>
  <si>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</si>
  <si>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</si>
  <si>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</si>
  <si>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</si>
  <si>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</si>
  <si>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</si>
  <si>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</si>
  <si>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</si>
  <si>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</si>
  <si>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</si>
  <si>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</si>
  <si>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</si>
  <si>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</si>
  <si>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</si>
  <si>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</si>
  <si>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</si>
  <si>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</si>
  <si>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</si>
  <si>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</si>
  <si>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</si>
  <si>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</si>
  <si>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</si>
  <si>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</si>
  <si>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</si>
  <si>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</si>
  <si>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</si>
  <si>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</si>
  <si>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</si>
  <si>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</si>
  <si>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</si>
  <si>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</si>
  <si>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</si>
  <si>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</si>
  <si>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</si>
  <si>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</si>
  <si>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</si>
  <si>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</si>
  <si>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</si>
  <si>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</si>
  <si>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</si>
  <si>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</si>
  <si>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</si>
  <si>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</si>
  <si>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</si>
  <si>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</si>
  <si>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</si>
  <si>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</si>
  <si>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</si>
  <si>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</si>
  <si>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</si>
  <si>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</si>
  <si>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</si>
  <si>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</si>
  <si>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</si>
  <si>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</si>
  <si>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</si>
  <si>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</si>
  <si>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</si>
  <si>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</si>
  <si>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</si>
  <si>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</si>
  <si>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</si>
  <si>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</si>
  <si>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</si>
  <si>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</si>
  <si>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</si>
  <si>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</si>
  <si>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</si>
  <si>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</si>
  <si>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</si>
  <si>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</si>
  <si>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</si>
  <si>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</si>
  <si>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</si>
  <si>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</si>
  <si>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</si>
  <si>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</si>
  <si>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</si>
  <si>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</si>
  <si>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</si>
  <si>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</si>
  <si>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</si>
  <si>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</si>
  <si>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</si>
  <si>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</si>
  <si>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</si>
  <si>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</si>
  <si>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</si>
  <si>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</si>
  <si>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</si>
  <si>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</si>
  <si>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</si>
  <si>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</si>
  <si>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</si>
  <si>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</si>
  <si>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</si>
  <si>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</si>
  <si>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</si>
  <si>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</si>
  <si>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</si>
  <si>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</si>
  <si>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</si>
  <si>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</si>
  <si>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</si>
  <si>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</si>
  <si>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</si>
  <si>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</si>
  <si>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</si>
  <si>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</si>
  <si>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</si>
  <si>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</si>
  <si>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</si>
  <si>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</si>
  <si>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</si>
  <si>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</si>
  <si>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</si>
  <si>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</si>
  <si>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</si>
  <si>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</si>
  <si>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</si>
  <si>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</si>
  <si>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</si>
  <si>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</si>
  <si>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</si>
  <si>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</si>
  <si>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</si>
  <si>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</si>
  <si>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</si>
  <si>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</si>
  <si>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</si>
  <si>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</si>
  <si>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</si>
  <si>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</si>
  <si>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</si>
  <si>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</si>
  <si>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</si>
  <si>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</si>
  <si>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</si>
  <si>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</si>
  <si>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</si>
  <si>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</si>
  <si>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</si>
  <si>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</si>
  <si>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</si>
  <si>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</si>
  <si>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</si>
  <si>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</si>
  <si>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</si>
  <si>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</si>
  <si>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</si>
  <si>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</si>
  <si>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</si>
  <si>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</si>
  <si>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</si>
  <si>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</si>
  <si>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</si>
  <si>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</si>
  <si>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</si>
  <si>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</si>
  <si>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</si>
  <si>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</si>
  <si>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</si>
  <si>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</si>
  <si>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</si>
  <si>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</si>
  <si>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</si>
  <si>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</si>
  <si>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</si>
  <si>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</si>
  <si>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</si>
  <si>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</si>
  <si>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</si>
  <si>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</si>
  <si>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</si>
  <si>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</si>
  <si>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</si>
  <si>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</si>
  <si>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</si>
  <si>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</si>
  <si>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</si>
  <si>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</si>
  <si>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</si>
  <si>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</si>
  <si>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</si>
  <si>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</si>
  <si>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</si>
  <si>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</si>
  <si>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</si>
  <si>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</si>
  <si>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</si>
  <si>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</si>
  <si>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</si>
  <si>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</si>
  <si>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</si>
  <si>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</si>
  <si>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</si>
  <si>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</si>
  <si>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</si>
  <si>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</si>
  <si>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</si>
  <si>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</si>
  <si>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</si>
  <si>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</si>
  <si>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</si>
  <si>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</si>
  <si>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</si>
  <si>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</si>
  <si>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</si>
  <si>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</si>
  <si>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</si>
  <si>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</si>
  <si>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</si>
  <si>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</si>
  <si>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</si>
  <si>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</si>
  <si>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</si>
  <si>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</si>
  <si>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</si>
  <si>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</si>
  <si>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</si>
  <si>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</si>
  <si>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</si>
  <si>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</si>
  <si>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</si>
  <si>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</si>
  <si>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</si>
  <si>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</si>
  <si>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</si>
  <si>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</si>
  <si>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</si>
  <si>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</si>
  <si>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</si>
  <si>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</si>
  <si>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</si>
  <si>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</si>
  <si>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</si>
  <si>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</si>
  <si>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</si>
  <si>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</si>
  <si>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</si>
  <si>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</si>
  <si>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</si>
  <si>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</si>
  <si>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</si>
  <si>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</si>
  <si>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</si>
  <si>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</si>
  <si>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</si>
  <si>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</si>
  <si>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</si>
  <si>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</si>
  <si>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</si>
  <si>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</si>
  <si>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</si>
  <si>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</si>
  <si>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</si>
  <si>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</si>
  <si>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</si>
  <si>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</si>
  <si>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</si>
  <si>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</si>
  <si>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</si>
  <si>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</si>
  <si>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</si>
  <si>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</si>
  <si>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</si>
  <si>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</si>
  <si>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</si>
  <si>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</si>
  <si>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</si>
  <si>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</si>
  <si>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</si>
  <si>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</si>
  <si>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</si>
  <si>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</si>
  <si>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</si>
  <si>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</si>
  <si>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</si>
  <si>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</si>
  <si>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</si>
  <si>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</si>
  <si>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</si>
  <si>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</si>
  <si>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</si>
  <si>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</si>
  <si>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</si>
  <si>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</si>
  <si>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</si>
  <si>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</si>
  <si>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</si>
  <si>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</si>
  <si>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</si>
  <si>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</si>
  <si>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</si>
  <si>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</si>
  <si>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</si>
  <si>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</si>
  <si>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</si>
  <si>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</si>
  <si>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</si>
  <si>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</si>
  <si>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</si>
  <si>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</si>
  <si>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</si>
  <si>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</si>
  <si>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</si>
  <si>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</si>
  <si>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</si>
  <si>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</si>
  <si>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</si>
  <si>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</si>
  <si>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</si>
  <si>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</si>
  <si>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</si>
  <si>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</si>
  <si>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</si>
  <si>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</si>
  <si>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</si>
  <si>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</si>
  <si>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</si>
  <si>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</si>
  <si>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</si>
  <si>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</si>
  <si>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</si>
  <si>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</si>
  <si>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</si>
  <si>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</si>
  <si>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</si>
  <si>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</si>
  <si>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</si>
  <si>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</si>
  <si>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</si>
  <si>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</si>
  <si>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</si>
  <si>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</si>
  <si>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</si>
  <si>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</si>
  <si>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</si>
  <si>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</si>
  <si>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</si>
  <si>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</si>
  <si>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</si>
  <si>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</si>
  <si>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</si>
  <si>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</si>
  <si>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</si>
  <si>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</si>
  <si>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</si>
  <si>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</si>
  <si>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</si>
  <si>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</si>
  <si>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</si>
  <si>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</si>
  <si>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</si>
  <si>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</si>
  <si>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</si>
  <si>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</si>
  <si>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</si>
  <si>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</si>
  <si>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</si>
  <si>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</si>
  <si>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</si>
  <si>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</si>
  <si>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</si>
  <si>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</si>
  <si>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</si>
  <si>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</si>
  <si>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</si>
  <si>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</si>
  <si>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</si>
  <si>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</si>
  <si>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</si>
  <si>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</si>
  <si>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</si>
  <si>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</si>
  <si>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</si>
  <si>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</si>
  <si>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</si>
  <si>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</si>
  <si>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</si>
  <si>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</si>
  <si>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</si>
  <si>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</si>
  <si>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</si>
  <si>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</si>
  <si>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</si>
  <si>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</si>
  <si>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</si>
  <si>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</si>
  <si>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</si>
  <si>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</si>
  <si>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</si>
  <si>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</si>
  <si>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</si>
  <si>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</si>
  <si>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</si>
  <si>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</si>
  <si>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</si>
  <si>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</si>
  <si>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</si>
  <si>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</si>
  <si>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</si>
  <si>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</si>
  <si>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</si>
  <si>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</si>
  <si>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</si>
  <si>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</si>
  <si>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</si>
  <si>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</si>
  <si>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</si>
  <si>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</si>
  <si>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</si>
  <si>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</si>
  <si>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</si>
  <si>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</si>
  <si>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</si>
  <si>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</si>
  <si>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</si>
  <si>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</si>
  <si>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</si>
  <si>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</si>
  <si>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</si>
  <si>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</si>
  <si>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</si>
  <si>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</si>
  <si>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</si>
  <si>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</si>
  <si>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</si>
  <si>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</si>
  <si>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</si>
  <si>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</si>
  <si>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</si>
  <si>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</si>
  <si>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</si>
  <si>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</si>
  <si>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</si>
  <si>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</si>
  <si>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</si>
  <si>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</si>
  <si>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</si>
  <si>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</si>
  <si>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</si>
  <si>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</si>
  <si>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</si>
  <si>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</si>
  <si>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</si>
  <si>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</si>
  <si>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</si>
  <si>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</si>
  <si>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</si>
  <si>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</si>
  <si>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</si>
  <si>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</si>
  <si>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</si>
  <si>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</si>
  <si>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</si>
  <si>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</si>
  <si>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</si>
  <si>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</si>
  <si>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</si>
  <si>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</si>
  <si>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</si>
  <si>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</si>
  <si>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</si>
  <si>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</si>
  <si>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</si>
  <si>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</si>
  <si>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</si>
  <si>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</si>
  <si>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</si>
  <si>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</si>
  <si>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</si>
  <si>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</si>
  <si>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</si>
  <si>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</si>
  <si>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</si>
  <si>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</si>
  <si>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</si>
  <si>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</si>
  <si>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</si>
  <si>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</si>
  <si>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</si>
  <si>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</si>
  <si>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</si>
  <si>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</si>
  <si>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</si>
  <si>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</si>
  <si>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</si>
  <si>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</si>
  <si>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</si>
  <si>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</si>
  <si>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</si>
  <si>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</si>
  <si>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</si>
  <si>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</si>
  <si>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</si>
  <si>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</si>
  <si>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</si>
  <si>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</si>
  <si>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</si>
  <si>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</si>
  <si>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</si>
  <si>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</si>
  <si>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</si>
  <si>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</si>
  <si>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</si>
  <si>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</si>
  <si>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</si>
  <si>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</si>
  <si>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</si>
  <si>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</si>
  <si>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</si>
  <si>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</si>
  <si>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</si>
  <si>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</si>
  <si>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</si>
  <si>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</si>
  <si>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</si>
  <si>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</si>
  <si>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</si>
  <si>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</si>
  <si>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</si>
  <si>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</si>
  <si>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</si>
  <si>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</si>
  <si>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</si>
  <si>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</si>
  <si>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</si>
  <si>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</si>
  <si>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</si>
  <si>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</si>
  <si>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</si>
  <si>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</si>
  <si>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</si>
  <si>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</si>
  <si>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</si>
  <si>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</si>
  <si>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</si>
  <si>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</si>
  <si>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</si>
  <si>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</si>
  <si>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</si>
  <si>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</si>
  <si>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</si>
  <si>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</si>
  <si>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</si>
  <si>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</si>
  <si>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</si>
  <si>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</si>
  <si>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</si>
  <si>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</si>
  <si>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</si>
  <si>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</si>
  <si>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</si>
  <si>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</si>
  <si>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</si>
  <si>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</si>
  <si>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</si>
  <si>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</si>
  <si>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</si>
  <si>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</si>
  <si>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</si>
  <si>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</si>
  <si>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</si>
  <si>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</si>
  <si>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</si>
  <si>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</si>
  <si>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</si>
  <si>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</si>
  <si>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</si>
  <si>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</si>
  <si>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</si>
  <si>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</si>
  <si>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</si>
  <si>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</si>
  <si>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</si>
  <si>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</si>
  <si>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</si>
  <si>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</si>
  <si>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</si>
  <si>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</si>
  <si>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</si>
  <si>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</si>
  <si>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</si>
  <si>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</si>
  <si>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</si>
  <si>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</si>
  <si>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</si>
  <si>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</si>
  <si>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</si>
  <si>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</si>
  <si>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</si>
  <si>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</si>
  <si>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</si>
  <si>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</si>
  <si>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</si>
  <si>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</si>
  <si>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</si>
  <si>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</si>
  <si>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</si>
  <si>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</si>
  <si>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</si>
  <si>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</si>
  <si>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</si>
  <si>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</si>
  <si>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</si>
  <si>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</si>
  <si>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</si>
  <si>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</si>
  <si>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</si>
  <si>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</si>
  <si>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</si>
  <si>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</si>
  <si>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</si>
  <si>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</si>
  <si>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</si>
  <si>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</si>
  <si>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</si>
  <si>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</si>
  <si>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</si>
  <si>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</si>
  <si>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</si>
  <si>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</si>
  <si>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</si>
  <si>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</si>
  <si>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</si>
  <si>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</si>
  <si>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</si>
  <si>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</si>
  <si>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</si>
  <si>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</si>
  <si>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</si>
  <si>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</si>
  <si>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</si>
  <si>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</si>
  <si>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</si>
  <si>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</si>
  <si>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</si>
  <si>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</si>
  <si>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</si>
  <si>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</si>
  <si>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</si>
  <si>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</si>
  <si>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</si>
  <si>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</si>
  <si>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</si>
  <si>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</si>
  <si>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</si>
  <si>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</si>
  <si>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</si>
  <si>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</si>
  <si>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</si>
  <si>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</si>
  <si>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</si>
  <si>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</si>
  <si>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</si>
  <si>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</si>
  <si>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</si>
  <si>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</si>
  <si>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</si>
  <si>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</si>
  <si>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</si>
  <si>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</si>
  <si>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</si>
  <si>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</si>
  <si>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</si>
  <si>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</si>
  <si>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</si>
  <si>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</si>
  <si>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</si>
  <si>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</si>
  <si>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</si>
  <si>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</si>
  <si>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</si>
  <si>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</si>
  <si>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</si>
  <si>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</si>
  <si>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</si>
  <si>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</si>
  <si>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</si>
  <si>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</si>
  <si>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</si>
  <si>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</si>
  <si>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</si>
  <si>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</si>
  <si>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</si>
  <si>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</si>
  <si>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</si>
  <si>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</si>
  <si>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</si>
  <si>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</si>
  <si>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</si>
  <si>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</si>
  <si>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</si>
  <si>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</si>
  <si>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</si>
  <si>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</si>
  <si>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</si>
  <si>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</si>
  <si>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</si>
  <si>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</si>
  <si>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</si>
  <si>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</si>
  <si>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</si>
  <si>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</si>
  <si>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</si>
  <si>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</si>
  <si>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</si>
  <si>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</si>
  <si>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</si>
  <si>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</si>
  <si>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</si>
  <si>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</si>
  <si>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</si>
  <si>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</si>
  <si>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</si>
  <si>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</si>
  <si>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</si>
  <si>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</si>
  <si>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</si>
  <si>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</si>
  <si>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</si>
  <si>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</si>
  <si>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</si>
  <si>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</si>
  <si>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</si>
  <si>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</si>
  <si>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</si>
  <si>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</si>
  <si>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</si>
  <si>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</si>
  <si>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</si>
  <si>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</si>
  <si>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</si>
  <si>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</si>
  <si>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</si>
  <si>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</si>
  <si>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</si>
  <si>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</si>
  <si>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</si>
  <si>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</si>
  <si>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</si>
  <si>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</si>
  <si>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</si>
  <si>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</si>
  <si>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</si>
  <si>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</si>
  <si>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</si>
  <si>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</si>
  <si>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</si>
  <si>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</si>
  <si>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</si>
  <si>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</si>
  <si>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</si>
  <si>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</si>
  <si>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</si>
  <si>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</si>
  <si>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</si>
  <si>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</si>
  <si>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</si>
  <si>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</si>
  <si>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</si>
  <si>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</si>
  <si>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</si>
  <si>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</si>
  <si>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</si>
  <si>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</si>
  <si>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</si>
  <si>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</si>
  <si>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</si>
  <si>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</si>
  <si>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</si>
  <si>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</si>
  <si>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</si>
  <si>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</si>
  <si>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</si>
  <si>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</si>
  <si>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</si>
  <si>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</si>
  <si>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</si>
  <si>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</si>
  <si>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</si>
  <si>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</si>
  <si>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</si>
  <si>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</si>
  <si>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</si>
  <si>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</si>
  <si>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</si>
  <si>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</si>
  <si>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</si>
  <si>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</si>
  <si>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</si>
  <si>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</si>
  <si>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</si>
  <si>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</si>
  <si>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</si>
  <si>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</si>
  <si>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</si>
  <si>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</si>
  <si>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</si>
  <si>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</si>
  <si>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</si>
  <si>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</si>
  <si>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</si>
  <si>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</si>
  <si>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</si>
  <si>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</si>
  <si>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</si>
  <si>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</si>
  <si>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</si>
  <si>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</si>
  <si>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</si>
  <si>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</si>
  <si>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</si>
  <si>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</si>
  <si>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</si>
  <si>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</si>
  <si>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</si>
  <si>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</si>
  <si>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</si>
  <si>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</si>
  <si>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</si>
  <si>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</si>
  <si>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</si>
  <si>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</si>
  <si>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</si>
  <si>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</si>
  <si>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</si>
  <si>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</si>
  <si>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</si>
  <si>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</si>
  <si>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</si>
  <si>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</si>
  <si>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</si>
  <si>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</si>
  <si>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</si>
  <si>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</si>
  <si>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</si>
  <si>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</si>
  <si>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</si>
  <si>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</si>
  <si>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</si>
  <si>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</si>
  <si>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</si>
  <si>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</si>
  <si>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</si>
  <si>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</si>
  <si>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</si>
  <si>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</si>
  <si>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</si>
  <si>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</si>
  <si>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</si>
  <si>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</si>
  <si>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</si>
  <si>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</si>
  <si>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</si>
  <si>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</si>
  <si>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</si>
  <si>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</si>
  <si>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</si>
  <si>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</si>
  <si>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</si>
  <si>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</si>
  <si>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</si>
  <si>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</si>
  <si>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</si>
  <si>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</si>
  <si>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</si>
  <si>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</si>
  <si>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</si>
  <si>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</si>
  <si>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</si>
  <si>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</si>
  <si>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</si>
  <si>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</si>
  <si>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</si>
  <si>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</si>
  <si>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</si>
  <si>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</si>
  <si>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</si>
  <si>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</si>
  <si>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</si>
  <si>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</si>
  <si>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</si>
  <si>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</si>
  <si>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</si>
  <si>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</si>
  <si>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</si>
  <si>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</si>
  <si>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</si>
  <si>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</si>
  <si>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</si>
  <si>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</si>
  <si>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</si>
  <si>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</si>
  <si>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</si>
  <si>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</si>
  <si>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</si>
  <si>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</si>
  <si>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</si>
  <si>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</si>
  <si>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</si>
  <si>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</si>
  <si>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</si>
  <si>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</si>
  <si>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</si>
  <si>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</si>
  <si>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</si>
  <si>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</si>
  <si>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</si>
  <si>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</si>
  <si>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</si>
  <si>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</si>
  <si>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</si>
  <si>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</si>
  <si>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</si>
  <si>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</si>
  <si>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</si>
  <si>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</si>
  <si>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</si>
  <si>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</si>
  <si>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</si>
  <si>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</si>
  <si>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</si>
  <si>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</si>
  <si>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</si>
  <si>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</si>
  <si>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</si>
  <si>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</si>
  <si>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</si>
  <si>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</si>
  <si>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</si>
  <si>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</si>
  <si>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</si>
  <si>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</si>
  <si>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</si>
  <si>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</si>
  <si>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</si>
  <si>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</si>
  <si>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</si>
  <si>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</si>
  <si>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</si>
  <si>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</si>
  <si>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</si>
  <si>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</si>
  <si>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</si>
  <si>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</si>
  <si>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</si>
  <si>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</si>
  <si>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</si>
  <si>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</si>
  <si>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</si>
  <si>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</si>
  <si>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</si>
  <si>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</si>
  <si>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</si>
  <si>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</si>
  <si>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</si>
  <si>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</si>
  <si>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</si>
  <si>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</si>
  <si>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</si>
  <si>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</si>
  <si>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</si>
  <si>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</si>
  <si>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</si>
  <si>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</si>
  <si>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</si>
  <si>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</si>
  <si>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</si>
  <si>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</si>
  <si>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</si>
  <si>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</si>
  <si>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</si>
  <si>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</si>
  <si>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</si>
  <si>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</si>
  <si>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</si>
  <si>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</si>
  <si>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</si>
  <si>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</si>
  <si>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</si>
  <si>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</si>
  <si>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</si>
  <si>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</si>
  <si>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</si>
  <si>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</si>
  <si>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</si>
  <si>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</si>
  <si>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</si>
  <si>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</si>
  <si>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</si>
  <si>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</si>
  <si>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</si>
  <si>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</si>
  <si>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</si>
  <si>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</si>
  <si>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</si>
  <si>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</si>
  <si>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</si>
  <si>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</si>
  <si>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</si>
  <si>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</si>
  <si>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</si>
  <si>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</si>
  <si>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</si>
  <si>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</si>
  <si>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</si>
  <si>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</si>
  <si>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</si>
  <si>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</si>
  <si>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</si>
  <si>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</si>
  <si>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</si>
  <si>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</si>
  <si>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</si>
  <si>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</si>
  <si>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</si>
  <si>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</si>
  <si>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</si>
  <si>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</si>
  <si>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</si>
  <si>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</si>
  <si>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</si>
  <si>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</si>
  <si>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</si>
  <si>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</si>
  <si>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</si>
  <si>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</si>
  <si>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</si>
  <si>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</si>
  <si>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</si>
  <si>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</si>
  <si>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</si>
  <si>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</si>
  <si>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</si>
  <si>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</si>
  <si>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</si>
  <si>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</si>
  <si>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</si>
  <si>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</si>
  <si>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</si>
  <si>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</si>
  <si>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</si>
  <si>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</si>
  <si>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</si>
  <si>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</si>
  <si>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</si>
  <si>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</si>
  <si>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</si>
  <si>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</si>
  <si>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</si>
  <si>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</si>
  <si>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</si>
  <si>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</si>
  <si>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</si>
  <si>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</si>
  <si>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</si>
  <si>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</si>
  <si>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</si>
  <si>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</si>
  <si>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</si>
  <si>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</si>
  <si>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</si>
  <si>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</si>
  <si>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</si>
  <si>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</si>
  <si>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</si>
  <si>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</si>
  <si>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</si>
  <si>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</si>
  <si>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</si>
  <si>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</si>
  <si>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</si>
  <si>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</si>
  <si>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</si>
  <si>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</si>
  <si>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</si>
  <si>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</si>
  <si>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</si>
  <si>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</si>
  <si>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</si>
  <si>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</si>
  <si>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</si>
  <si>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</si>
  <si>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</si>
  <si>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</si>
  <si>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</si>
  <si>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</si>
  <si>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</si>
  <si>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</si>
  <si>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</si>
  <si>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</si>
  <si>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</si>
  <si>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</si>
  <si>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</si>
  <si>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</si>
  <si>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</si>
  <si>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</si>
  <si>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</si>
  <si>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</si>
  <si>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</si>
  <si>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</si>
  <si>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</si>
  <si>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</si>
  <si>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</si>
  <si>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</si>
  <si>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</si>
  <si>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</si>
  <si>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</si>
  <si>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</si>
  <si>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</si>
  <si>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</si>
  <si>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</si>
  <si>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</si>
  <si>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</si>
  <si>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</si>
  <si>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</si>
  <si>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</si>
  <si>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</si>
  <si>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</si>
  <si>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</si>
  <si>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</si>
  <si>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</si>
  <si>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</si>
  <si>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</si>
  <si>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</si>
  <si>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</si>
  <si>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</si>
  <si>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</si>
  <si>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</si>
  <si>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</si>
  <si>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</si>
  <si>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</si>
  <si>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</si>
  <si>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</si>
  <si>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</si>
  <si>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</si>
  <si>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</si>
  <si>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</si>
  <si>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</si>
  <si>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</si>
  <si>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</si>
  <si>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</si>
  <si>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</si>
  <si>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</si>
  <si>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</si>
  <si>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</si>
  <si>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</si>
  <si>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</si>
  <si>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</si>
  <si>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</si>
  <si>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</si>
  <si>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</si>
  <si>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</si>
  <si>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</si>
  <si>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</si>
  <si>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</si>
  <si>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</si>
  <si>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</si>
  <si>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</si>
  <si>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</si>
  <si>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</si>
  <si>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</si>
  <si>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</si>
  <si>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</si>
  <si>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</si>
  <si>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</si>
  <si>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</si>
  <si>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</si>
  <si>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</si>
  <si>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</si>
  <si>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</si>
  <si>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</si>
  <si>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</si>
  <si>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</si>
  <si>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</si>
  <si>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</si>
  <si>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</si>
  <si>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</si>
  <si>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</si>
  <si>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</si>
  <si>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</si>
  <si>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</si>
  <si>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</si>
  <si>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</si>
  <si>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</si>
  <si>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</si>
  <si>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</si>
  <si>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</si>
  <si>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</si>
  <si>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</si>
  <si>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</si>
  <si>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</si>
  <si>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</si>
  <si>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</si>
  <si>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</si>
  <si>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</si>
  <si>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</si>
  <si>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</si>
  <si>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</si>
  <si>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</si>
  <si>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</si>
  <si>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</si>
  <si>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</si>
  <si>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</si>
  <si>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</si>
  <si>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</si>
  <si>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</si>
  <si>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</si>
  <si>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</si>
  <si>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</si>
  <si>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</si>
  <si>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</si>
  <si>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</si>
  <si>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</si>
  <si>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</si>
  <si>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</si>
  <si>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</si>
  <si>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</si>
  <si>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</si>
  <si>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</si>
  <si>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</si>
  <si>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</si>
  <si>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</si>
  <si>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</si>
  <si>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</si>
  <si>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</si>
  <si>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</si>
  <si>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</si>
  <si>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</si>
  <si>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</si>
  <si>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</si>
  <si>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</si>
  <si>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</si>
  <si>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</si>
  <si>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</si>
  <si>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</si>
  <si>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</si>
  <si>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</si>
  <si>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</si>
  <si>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</si>
  <si>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</si>
  <si>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</si>
  <si>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</si>
  <si>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</si>
  <si>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</si>
  <si>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</si>
  <si>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</si>
  <si>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</si>
  <si>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</si>
  <si>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</si>
  <si>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</si>
  <si>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</si>
  <si>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</si>
  <si>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</si>
  <si>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</si>
  <si>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</si>
  <si>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</si>
  <si>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</si>
  <si>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</si>
  <si>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</si>
  <si>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</si>
  <si>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</si>
  <si>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</si>
  <si>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</si>
  <si>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</si>
  <si>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</si>
  <si>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</si>
  <si>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</si>
  <si>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</si>
  <si>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</si>
  <si>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</si>
  <si>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</si>
  <si>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</si>
  <si>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</si>
  <si>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</si>
  <si>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</si>
  <si>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</si>
  <si>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</si>
  <si>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</si>
  <si>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</si>
  <si>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</si>
  <si>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</si>
  <si>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</si>
  <si>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</si>
  <si>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</si>
  <si>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</si>
  <si>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</si>
  <si>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</si>
  <si>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</si>
  <si>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</si>
  <si>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</si>
  <si>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</si>
  <si>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</si>
  <si>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</si>
  <si>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</si>
  <si>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</si>
  <si>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</si>
  <si>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</si>
  <si>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</si>
  <si>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</si>
  <si>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</si>
  <si>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</si>
  <si>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</si>
  <si>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</si>
  <si>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</si>
  <si>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</si>
  <si>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</si>
  <si>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</si>
  <si>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</si>
  <si>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</si>
  <si>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</si>
  <si>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</si>
  <si>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</si>
  <si>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</si>
  <si>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</si>
  <si>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</si>
  <si>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</si>
  <si>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</si>
  <si>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</si>
  <si>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</si>
  <si>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</si>
  <si>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</si>
  <si>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</si>
  <si>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</si>
  <si>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</si>
  <si>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</si>
  <si>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</si>
  <si>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</si>
  <si>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</si>
  <si>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</si>
  <si>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</si>
  <si>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</si>
  <si>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</si>
  <si>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</si>
  <si>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</si>
  <si>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</si>
  <si>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</si>
  <si>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</si>
  <si>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</si>
  <si>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</si>
  <si>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</si>
  <si>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</si>
  <si>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</si>
  <si>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</si>
  <si>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</si>
  <si>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</si>
  <si>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</si>
  <si>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</si>
  <si>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</si>
  <si>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</si>
  <si>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</si>
  <si>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</si>
  <si>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</si>
  <si>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</si>
  <si>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</si>
  <si>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</si>
  <si>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</si>
  <si>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</si>
  <si>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</si>
  <si>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</si>
  <si>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</si>
  <si>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</si>
  <si>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</si>
  <si>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</si>
  <si>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</si>
  <si>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</si>
  <si>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</si>
  <si>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</si>
  <si>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</si>
  <si>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</si>
  <si>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</si>
  <si>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</si>
  <si>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</si>
  <si>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</si>
  <si>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</si>
  <si>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</si>
  <si>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</si>
  <si>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</si>
  <si>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</si>
  <si>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</si>
  <si>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</si>
  <si>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</si>
  <si>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</si>
  <si>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</si>
  <si>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</si>
  <si>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</si>
  <si>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</si>
  <si>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</si>
  <si>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</si>
  <si>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</si>
  <si>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</si>
  <si>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</si>
  <si>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</si>
  <si>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</si>
  <si>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</si>
  <si>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</si>
  <si>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</si>
  <si>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</si>
  <si>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</si>
  <si>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</si>
  <si>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</si>
  <si>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</si>
  <si>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</si>
  <si>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</si>
  <si>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</si>
  <si>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</si>
  <si>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</si>
  <si>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</si>
  <si>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</si>
  <si>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</si>
  <si>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</si>
  <si>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</si>
  <si>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</si>
  <si>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</si>
  <si>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</si>
  <si>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</si>
  <si>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</si>
  <si>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</si>
  <si>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</si>
  <si>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</si>
  <si>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</si>
  <si>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</si>
  <si>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</si>
  <si>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</si>
  <si>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</si>
  <si>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</si>
  <si>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</si>
  <si>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</si>
  <si>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</si>
  <si>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</si>
  <si>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</si>
  <si>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</si>
  <si>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</si>
  <si>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</si>
  <si>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</si>
  <si>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</si>
  <si>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</si>
  <si>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</si>
  <si>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</si>
  <si>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</si>
  <si>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</si>
  <si>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</si>
  <si>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</si>
  <si>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</si>
  <si>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</si>
  <si>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</si>
  <si>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</si>
  <si>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</si>
  <si>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</si>
  <si>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</si>
  <si>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</si>
  <si>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</si>
  <si>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</si>
  <si>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</si>
  <si>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</si>
  <si>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</si>
  <si>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</si>
  <si>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</si>
  <si>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</si>
  <si>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</si>
  <si>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</si>
  <si>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</si>
  <si>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</si>
  <si>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</si>
  <si>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</si>
  <si>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</si>
  <si>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</si>
  <si>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</si>
  <si>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</si>
  <si>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</si>
  <si>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</si>
  <si>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</si>
  <si>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</si>
  <si>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</si>
  <si>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</si>
  <si>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</si>
  <si>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</si>
  <si>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</si>
  <si>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</si>
  <si>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</si>
  <si>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</si>
  <si>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</si>
  <si>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</si>
  <si>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</si>
  <si>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</si>
  <si>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</si>
  <si>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</si>
  <si>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</si>
  <si>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</si>
  <si>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</si>
  <si>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</si>
  <si>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</si>
  <si>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</si>
  <si>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</si>
  <si>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</si>
  <si>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</si>
  <si>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</si>
  <si>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</si>
  <si>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</si>
  <si>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</si>
  <si>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</si>
  <si>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</si>
  <si>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</si>
  <si>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</si>
  <si>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</si>
  <si>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</si>
  <si>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</si>
  <si>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</si>
  <si>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</si>
  <si>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</si>
  <si>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</si>
  <si>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</si>
  <si>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</si>
  <si>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</si>
  <si>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</si>
  <si>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</si>
  <si>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</si>
  <si>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</si>
  <si>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</si>
  <si>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</si>
  <si>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</si>
  <si>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</si>
  <si>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</si>
  <si>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</si>
  <si>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</si>
  <si>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</si>
  <si>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</si>
  <si>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</si>
  <si>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</si>
  <si>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</si>
  <si>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</si>
  <si>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</si>
  <si>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</si>
  <si>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</si>
  <si>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</si>
  <si>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</si>
  <si>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</si>
  <si>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</si>
  <si>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</si>
  <si>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</si>
  <si>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</si>
  <si>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</si>
  <si>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</si>
  <si>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</si>
  <si>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</si>
  <si>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</si>
  <si>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</si>
  <si>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</si>
  <si>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</si>
  <si>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</si>
  <si>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</si>
  <si>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</si>
  <si>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</si>
  <si>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</si>
  <si>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</si>
  <si>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</si>
  <si>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</si>
  <si>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</si>
  <si>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</si>
  <si>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</si>
  <si>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</si>
  <si>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</si>
  <si>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</si>
  <si>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</si>
  <si>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</si>
  <si>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</si>
  <si>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</si>
  <si>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</si>
  <si>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</si>
  <si>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</si>
  <si>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</si>
  <si>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</si>
  <si>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</si>
  <si>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</si>
  <si>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</si>
  <si>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</si>
  <si>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</si>
  <si>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</si>
  <si>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</si>
  <si>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</si>
  <si>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</si>
  <si>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</si>
  <si>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</si>
  <si>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</si>
  <si>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</si>
  <si>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</si>
  <si>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</si>
  <si>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</si>
  <si>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</si>
  <si>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</si>
  <si>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</si>
  <si>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</si>
  <si>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</si>
  <si>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</si>
  <si>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</si>
  <si>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</si>
  <si>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</si>
  <si>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</si>
  <si>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</si>
  <si>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</si>
  <si>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</si>
  <si>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</si>
  <si>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</si>
  <si>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</si>
  <si>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</si>
  <si>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</si>
  <si>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</si>
  <si>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</si>
  <si>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</si>
  <si>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</si>
  <si>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</si>
  <si>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</si>
  <si>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</si>
  <si>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</si>
  <si>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</si>
  <si>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</si>
  <si>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</si>
  <si>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</si>
  <si>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</si>
  <si>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</si>
  <si>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</si>
  <si>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</si>
  <si>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</si>
  <si>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</si>
  <si>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</si>
  <si>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</si>
  <si>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</si>
  <si>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</si>
  <si>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</si>
  <si>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</si>
  <si>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</si>
  <si>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</si>
  <si>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</si>
  <si>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</si>
  <si>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</si>
  <si>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</si>
  <si>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</si>
  <si>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</si>
  <si>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</si>
  <si>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</si>
  <si>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</si>
  <si>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</si>
  <si>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</si>
  <si>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</si>
  <si>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</si>
  <si>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</si>
  <si>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</si>
  <si>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</si>
  <si>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</si>
  <si>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</si>
  <si>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</si>
  <si>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</si>
  <si>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</si>
  <si>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</si>
  <si>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</si>
  <si>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</si>
  <si>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</si>
  <si>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</si>
  <si>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</si>
  <si>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</si>
  <si>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</si>
  <si>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</si>
  <si>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</si>
  <si>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</si>
  <si>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</si>
  <si>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</si>
  <si>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</si>
  <si>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</si>
  <si>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</si>
  <si>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</si>
  <si>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</si>
  <si>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</si>
  <si>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</si>
  <si>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</si>
  <si>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</si>
  <si>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</si>
  <si>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</si>
  <si>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</si>
  <si>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</si>
  <si>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</si>
  <si>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</si>
  <si>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</si>
  <si>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</si>
  <si>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</si>
  <si>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</si>
  <si>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</si>
  <si>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</si>
  <si>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</si>
  <si>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</si>
  <si>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</si>
  <si>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</si>
  <si>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</si>
  <si>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</si>
  <si>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</si>
  <si>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</si>
  <si>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</si>
  <si>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</si>
  <si>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</si>
  <si>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</si>
  <si>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</si>
  <si>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</si>
  <si>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</si>
  <si>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</si>
  <si>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</si>
  <si>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</si>
  <si>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</si>
  <si>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</si>
  <si>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</si>
  <si>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</si>
  <si>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</si>
  <si>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</si>
  <si>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</si>
  <si>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</si>
  <si>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</si>
  <si>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</si>
  <si>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</si>
  <si>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</si>
  <si>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</si>
  <si>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</si>
  <si>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</si>
  <si>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</si>
  <si>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</si>
  <si>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</si>
  <si>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</si>
  <si>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</si>
  <si>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</si>
  <si>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</si>
  <si>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</si>
  <si>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</si>
  <si>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</si>
  <si>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</si>
  <si>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</si>
  <si>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</si>
  <si>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</si>
  <si>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</si>
  <si>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</si>
  <si>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</si>
  <si>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</si>
  <si>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</si>
  <si>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</si>
  <si>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</si>
  <si>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</si>
  <si>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</si>
  <si>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</si>
  <si>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</si>
  <si>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</si>
  <si>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</si>
  <si>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</si>
  <si>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</si>
  <si>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</si>
  <si>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</si>
  <si>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</si>
  <si>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</si>
  <si>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</si>
  <si>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</si>
  <si>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</si>
  <si>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</si>
  <si>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</si>
  <si>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</si>
  <si>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</si>
  <si>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</si>
  <si>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</si>
  <si>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</si>
  <si>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</si>
  <si>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</si>
  <si>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</si>
  <si>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</si>
  <si>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</si>
  <si>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</si>
  <si>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</si>
  <si>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</si>
  <si>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</si>
  <si>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</si>
  <si>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</si>
  <si>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</si>
  <si>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</si>
  <si>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</si>
  <si>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</si>
  <si>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</si>
  <si>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</si>
  <si>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</si>
  <si>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</si>
  <si>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</si>
  <si>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</si>
  <si>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</si>
  <si>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</si>
  <si>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</si>
  <si>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</si>
  <si>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</si>
  <si>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</si>
  <si>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</si>
  <si>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</si>
  <si>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</si>
  <si>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</si>
  <si>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</si>
  <si>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</si>
  <si>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</si>
  <si>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</si>
  <si>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</si>
  <si>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</si>
  <si>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</si>
  <si>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</si>
  <si>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</si>
  <si>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</si>
  <si>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</si>
  <si>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</si>
  <si>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</si>
  <si>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</si>
  <si>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</si>
  <si>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</si>
  <si>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</si>
  <si>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</si>
  <si>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</si>
  <si>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</si>
  <si>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</si>
  <si>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</si>
  <si>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</si>
  <si>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</si>
  <si>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</si>
  <si>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</si>
  <si>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</si>
  <si>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</si>
  <si>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</si>
  <si>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</si>
  <si>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</si>
  <si>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</si>
  <si>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</si>
  <si>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</si>
  <si>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</si>
  <si>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</si>
  <si>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</si>
  <si>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</si>
  <si>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</si>
  <si>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</si>
  <si>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</si>
  <si>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</si>
  <si>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</si>
  <si>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</si>
  <si>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</si>
  <si>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</si>
  <si>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</si>
  <si>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</si>
  <si>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</si>
  <si>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</si>
  <si>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</si>
  <si>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</si>
  <si>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</si>
  <si>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</si>
  <si>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</si>
  <si>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</si>
  <si>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</si>
  <si>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</si>
  <si>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</si>
  <si>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</si>
  <si>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</si>
  <si>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</si>
  <si>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</si>
  <si>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</si>
  <si>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</si>
  <si>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</si>
  <si>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</si>
  <si>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</si>
  <si>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</si>
  <si>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</si>
  <si>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</si>
  <si>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</si>
  <si>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</si>
  <si>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</si>
  <si>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</si>
  <si>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</si>
  <si>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</si>
  <si>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</si>
  <si>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</si>
  <si>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</si>
  <si>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</si>
  <si>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</si>
  <si>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</si>
  <si>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</si>
  <si>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</si>
  <si>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</si>
  <si>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</si>
  <si>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</si>
  <si>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</si>
  <si>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</si>
  <si>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</si>
  <si>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</si>
  <si>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</si>
  <si>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</si>
  <si>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</si>
  <si>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</si>
  <si>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</si>
  <si>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</si>
  <si>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</si>
  <si>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</si>
  <si>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</si>
  <si>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</si>
  <si>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</si>
  <si>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</si>
  <si>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</si>
  <si>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</si>
  <si>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</si>
  <si>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</si>
  <si>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</si>
  <si>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</si>
  <si>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</si>
  <si>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</si>
  <si>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</si>
  <si>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</si>
  <si>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</si>
  <si>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</si>
  <si>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</si>
  <si>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</si>
  <si>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</si>
  <si>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</si>
  <si>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</si>
  <si>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</si>
  <si>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</si>
  <si>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</si>
  <si>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</si>
  <si>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</si>
  <si>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</si>
  <si>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</si>
  <si>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</si>
  <si>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</si>
  <si>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</si>
  <si>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</si>
  <si>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</si>
  <si>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</si>
  <si>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</si>
  <si>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</si>
  <si>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</si>
  <si>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</si>
  <si>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</si>
  <si>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</si>
  <si>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</si>
  <si>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</si>
  <si>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</si>
  <si>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</si>
  <si>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</si>
  <si>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</si>
  <si>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</si>
  <si>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</si>
  <si>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</si>
  <si>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</si>
  <si>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</si>
  <si>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</si>
  <si>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</si>
  <si>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</si>
  <si>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</si>
  <si>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</si>
  <si>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</si>
  <si>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</si>
  <si>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</si>
  <si>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</si>
  <si>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</si>
  <si>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</si>
  <si>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</si>
  <si>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</si>
  <si>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</si>
  <si>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</si>
  <si>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</si>
  <si>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</si>
  <si>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</si>
  <si>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</si>
  <si>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</si>
  <si>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</si>
  <si>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</si>
  <si>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</si>
  <si>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</si>
  <si>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</si>
  <si>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</si>
  <si>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</si>
  <si>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</si>
  <si>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</si>
  <si>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</si>
  <si>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</si>
  <si>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</si>
  <si>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</si>
  <si>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</si>
  <si>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</si>
  <si>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</si>
  <si>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</si>
  <si>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</si>
  <si>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</si>
  <si>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</si>
  <si>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</si>
  <si>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</si>
  <si>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</si>
  <si>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</si>
  <si>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</si>
  <si>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</si>
  <si>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</si>
  <si>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</si>
  <si>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</si>
  <si>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</si>
  <si>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</si>
  <si>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</si>
  <si>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</si>
  <si>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</si>
  <si>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</si>
  <si>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</si>
  <si>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</si>
  <si>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</si>
  <si>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</si>
  <si>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</si>
  <si>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</si>
  <si>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</si>
  <si>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</si>
  <si>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</si>
  <si>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</si>
  <si>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</si>
  <si>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</si>
  <si>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</si>
  <si>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</si>
  <si>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</si>
  <si>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</si>
  <si>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</si>
  <si>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</si>
  <si>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</si>
  <si>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</si>
  <si>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</si>
  <si>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</si>
  <si>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</si>
  <si>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</si>
  <si>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</si>
  <si>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</si>
  <si>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</si>
  <si>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</si>
  <si>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</si>
  <si>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</si>
  <si>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</si>
  <si>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</si>
  <si>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</si>
  <si>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</si>
  <si>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</si>
  <si>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</si>
  <si>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</si>
  <si>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</si>
  <si>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</si>
  <si>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</si>
  <si>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</si>
  <si>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</si>
  <si>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</si>
  <si>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</si>
  <si>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</si>
  <si>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</si>
  <si>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</si>
  <si>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</si>
  <si>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</si>
  <si>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</si>
  <si>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</si>
  <si>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</si>
  <si>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</si>
  <si>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</si>
  <si>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</si>
  <si>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</si>
  <si>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</si>
  <si>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</si>
  <si>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</si>
  <si>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</si>
  <si>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</si>
  <si>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</si>
  <si>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</si>
  <si>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</si>
  <si>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</si>
  <si>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</si>
  <si>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</si>
  <si>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</si>
  <si>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</si>
  <si>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</si>
  <si>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</si>
  <si>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</si>
  <si>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</si>
  <si>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</si>
  <si>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</si>
  <si>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</si>
  <si>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</si>
  <si>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</si>
  <si>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</si>
  <si>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工业</t>
    <phoneticPr fontId="7" type="noConversion"/>
  </si>
  <si>
    <t>成新度</t>
  </si>
  <si>
    <t>http://www.bjfsh.gov.cn/zwgk/qczj/fgwj_838/qtwj_844/202204/t20220406_40044221.shtml?type=computer</t>
  </si>
  <si>
    <t>Ⅸ-房1</t>
  </si>
  <si>
    <t>自定义容积率</t>
  </si>
  <si>
    <t>与级别开发程度一致</t>
  </si>
  <si>
    <t>较好</t>
  </si>
  <si>
    <t>一般</t>
  </si>
  <si>
    <t>较差</t>
  </si>
  <si>
    <t>未包含在土地购买价格中</t>
  </si>
  <si>
    <t>全部缴纳</t>
  </si>
  <si>
    <t>已包含在土地取得成本中</t>
  </si>
  <si>
    <t>押一</t>
  </si>
  <si>
    <t>砖混</t>
  </si>
  <si>
    <t>非生产用房</t>
  </si>
  <si>
    <t>现房</t>
  </si>
  <si>
    <t>项目全部</t>
  </si>
  <si>
    <t>总价</t>
  </si>
  <si>
    <t>https://bj.58.com/fangchan/53867109337245x.shtml?utm_source=market&amp;spm=u-2d2yxv86y3v43nkddh1.BDPCPZ_BT&amp;prd=VQc6l8Z%2BjOoTQz9Uj6%2BeIA%3D%3D&amp;houseId=2972948311403520&amp;gpos=6&amp;positionType=commoninfo&amp;cocoTestType=coco_area_expand_test&amp;legoCocoTestType=coco_area_expand_test&amp;filterJson=eyJTSEFOR1FVQU4iOlt7ImtleSI6IiIsImxhYmVsIjoi54eV5bGxIiwidmFsIjoieWFuc2hhbmZzIn1dLCJRVVlVIjpbeyJrZXkiOiIiLCJsYWJlbCI6IuaIv-WxsSIsInZhbCI6ImZhbmdzaGFuIn1dfQ&amp;jx_abtest=ZWljX3N5ZGNfcGNfcmVjb21tZW5kX3Rlc3QscHRyX2ZhbmdfYnVkZ2V0X2JvdHRvbXwxLGNvY29fYXJlYV9leHBhbmRfdGVzdCx1c2VyX3BoYXNlX2w&amp;list_type=main&amp;PGTID=0d30576d-0000-1195-bb7c-d16a31c62abd&amp;ClickID=13</t>
  </si>
  <si>
    <t>收益比率</t>
  </si>
  <si>
    <t>抵押</t>
  </si>
  <si>
    <t>房地产抵押价值</t>
  </si>
  <si>
    <t>北京市</t>
  </si>
  <si>
    <t>企业</t>
  </si>
  <si>
    <t>单套模式</t>
  </si>
  <si>
    <t>租金</t>
  </si>
  <si>
    <t>收益法 (元)</t>
  </si>
  <si>
    <t>成本法 (元)</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</si>
  <si>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</si>
  <si>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</si>
  <si>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</si>
  <si>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</si>
  <si>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</si>
  <si>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</si>
  <si>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</si>
  <si>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</si>
  <si>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</si>
  <si>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</si>
  <si>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</si>
  <si>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</si>
  <si>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https://bj.58.com/fangchan/54898341845907x.shtml?utm_source=market&amp;spm=u-2d2yxv86y3v43nkddh1.BDPCPZ_BT&amp;prd=Y95n5Ujmqcy3%2FaJ1lSKO3Q%3D%3D&amp;houseId=3104946071937025&amp;gpos=136&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54</t>
    <phoneticPr fontId="134" type="noConversion"/>
  </si>
  <si>
    <t>https://bj.58.com/fangchan/55464117739779x.shtml?utm_source=market&amp;spm=u-2d2yxv86y3v43nkddh1.BDPCPZ_BT&amp;prd=LY4WXpwP6ATdDH2hT%2FC6Dw%3D%3D&amp;houseId=3177365386863630&amp;gpos=118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55</t>
  </si>
  <si>
    <t>https://bj.58.com/fangchan/53867109337245x.shtml?utm_source=market&amp;spm=u-2d2yxv86y3v43nkddh1.BDPCPZ_BT&amp;prd=0ZtUpOFBf%2BIYlTWGkLB3yQ%3D%3D&amp;houseId=2972948311403520&amp;gpos=148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53</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</si>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</sst>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14</xdr:col>
      <xdr:colOff>495301</xdr:colOff>
      <xdr:row>44</xdr:row>
      <xdr:rowOff>137302</xdr:rowOff>
    </xdr:to>
    <xdr:pic>
      <xdr:nvPicPr>
        <xdr:cNvPr id="2" name="图片 1"/>
        <xdr:cNvPicPr>
          <a:picLocks noChangeAspect="1"/>
        </xdr:cNvPicPr>
      </xdr:nvPicPr>
      <xdr:blipFill rotWithShape="1">
        <a:blip xmlns:r="http://schemas.openxmlformats.org/officeDocument/2006/relationships" r:embed="rId1"/>
        <a:srcRect l="17719" r="16839"/>
        <a:stretch/>
      </xdr:blipFill>
      <xdr:spPr>
        <a:xfrm>
          <a:off x="0" y="200025"/>
          <a:ext cx="10096501" cy="7481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155645</xdr:rowOff>
    </xdr:from>
    <xdr:to>
      <xdr:col>13</xdr:col>
      <xdr:colOff>589031</xdr:colOff>
      <xdr:row>27</xdr:row>
      <xdr:rowOff>104071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7095"/>
          <a:ext cx="9504431" cy="4406126"/>
        </a:xfrm>
        <a:prstGeom prst="rect">
          <a:avLst/>
        </a:prstGeom>
      </xdr:spPr>
    </xdr:pic>
    <xdr:clientData/>
  </xdr:twoCellAnchor>
  <xdr:twoCellAnchor editAs="oneCell">
    <xdr:from>
      <xdr:col>0</xdr:col>
      <xdr:colOff>0</xdr:colOff>
      <xdr:row>29</xdr:row>
      <xdr:rowOff>133349</xdr:rowOff>
    </xdr:from>
    <xdr:to>
      <xdr:col>13</xdr:col>
      <xdr:colOff>562768</xdr:colOff>
      <xdr:row>55</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05399"/>
          <a:ext cx="9478168" cy="4457701"/>
        </a:xfrm>
        <a:prstGeom prst="rect">
          <a:avLst/>
        </a:prstGeom>
      </xdr:spPr>
    </xdr:pic>
    <xdr:clientData/>
  </xdr:twoCellAnchor>
  <xdr:twoCellAnchor editAs="oneCell">
    <xdr:from>
      <xdr:col>0</xdr:col>
      <xdr:colOff>0</xdr:colOff>
      <xdr:row>57</xdr:row>
      <xdr:rowOff>85725</xdr:rowOff>
    </xdr:from>
    <xdr:to>
      <xdr:col>13</xdr:col>
      <xdr:colOff>608983</xdr:colOff>
      <xdr:row>84</xdr:row>
      <xdr:rowOff>47625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9524383" cy="4591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估价对象为北京市房地产，为所有。根据《国有土地使用证》[]，估价对象（分摊）出让国有建设用地使用权面积为6667.9平方米，建筑面积为1155.3平方米。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估价对象为北京市房地产,为开发建设的，该项目尚在开发建设中。根据《国有土地使用证》[]，估价对象（分摊）出让国有建设用地使用权面积为6667.9平方米，规划建筑面积为1155.3平方米。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2023年9月18日（评估专业人员实地查勘之日）</v>
      </c>
    </row>
    <row r="13" spans="1:2" s="1203" customFormat="1">
      <c r="A13" s="1201" t="s">
        <v>529</v>
      </c>
      <c r="B13" s="1202" t="str">
        <f>'预评函-1'!A18</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695</v>
      </c>
    </row>
    <row r="21" spans="1:2" s="1203" customFormat="1">
      <c r="A21" s="1201" t="s">
        <v>537</v>
      </c>
      <c r="B21" s="1202">
        <f ca="1">'预评函-2'!D7</f>
        <v>6016</v>
      </c>
    </row>
    <row r="22" spans="1:2" s="1203" customFormat="1">
      <c r="A22" s="1201" t="s">
        <v>538</v>
      </c>
      <c r="B22" s="1202" t="str">
        <f ca="1">'预评函-2'!D6</f>
        <v>陆佰玖拾伍万元整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695</v>
      </c>
    </row>
    <row r="31" spans="1:2" s="1203" customFormat="1">
      <c r="A31" s="1201" t="s">
        <v>576</v>
      </c>
      <c r="B31" s="1202">
        <f ca="1">'预评函-2'!D15</f>
        <v>6016</v>
      </c>
    </row>
    <row r="32" spans="1:2" s="1203" customFormat="1">
      <c r="A32" s="1201" t="s">
        <v>543</v>
      </c>
      <c r="B32" s="1202" t="str">
        <f ca="1">'预评函-2'!D14</f>
        <v>陆佰玖拾伍万元整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1155.3</v>
      </c>
    </row>
    <row r="44" spans="1:2" s="1203" customFormat="1">
      <c r="A44" s="1201" t="s">
        <v>575</v>
      </c>
      <c r="B44" s="1202" t="str">
        <f>'预评函-3'!C2</f>
        <v>(分摊)土地面积</v>
      </c>
    </row>
    <row r="45" spans="1:2" s="1203" customFormat="1">
      <c r="A45" s="1201" t="s">
        <v>547</v>
      </c>
      <c r="B45" s="1202">
        <f>'预评函-3'!C4</f>
        <v>6667.9</v>
      </c>
    </row>
    <row r="46" spans="1:2" s="1203" customFormat="1">
      <c r="A46" s="1201" t="s">
        <v>573</v>
      </c>
      <c r="B46" s="1202" t="str">
        <f>'预评函-3'!D2</f>
        <v>出让国有建设用地使用权价值</v>
      </c>
    </row>
    <row r="47" spans="1:2" s="1203" customFormat="1">
      <c r="A47" s="1201" t="s">
        <v>548</v>
      </c>
      <c r="B47" s="1202">
        <f ca="1">'预评函-3'!D4</f>
        <v>457</v>
      </c>
    </row>
    <row r="48" spans="1:2" s="1203" customFormat="1">
      <c r="A48" s="1201" t="s">
        <v>549</v>
      </c>
      <c r="B48" s="1202">
        <f ca="1">'预评函-3'!E4</f>
        <v>3956</v>
      </c>
    </row>
    <row r="49" spans="1:2" s="1203" customFormat="1">
      <c r="A49" s="1201" t="s">
        <v>550</v>
      </c>
      <c r="B49" s="1202" t="str">
        <f ca="1">'预评函-3'!D5</f>
        <v>肆佰伍拾柒万元整</v>
      </c>
    </row>
    <row r="50" spans="1:2" s="1203" customFormat="1">
      <c r="A50" s="1201" t="s">
        <v>574</v>
      </c>
      <c r="B50" s="1202" t="str">
        <f>'预评函-3'!F2</f>
        <v>在建建筑物价值</v>
      </c>
    </row>
    <row r="51" spans="1:2" s="1203" customFormat="1">
      <c r="A51" s="1201" t="s">
        <v>551</v>
      </c>
      <c r="B51" s="1202">
        <f ca="1">'预评函-3'!F4</f>
        <v>238</v>
      </c>
    </row>
    <row r="52" spans="1:2" s="1203" customFormat="1">
      <c r="A52" s="1201" t="s">
        <v>552</v>
      </c>
      <c r="B52" s="1202">
        <f ca="1">'预评函-3'!G4</f>
        <v>2060</v>
      </c>
    </row>
    <row r="53" spans="1:2" s="1203" customFormat="1">
      <c r="A53" s="1201" t="s">
        <v>580</v>
      </c>
      <c r="B53" s="1202" t="str">
        <f ca="1">'预评函-3'!F5</f>
        <v>贰佰叁拾捌万元整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496" t="s">
        <v>2575</v>
      </c>
      <c r="J2" s="3496"/>
      <c r="K2" s="3496"/>
      <c r="L2" s="3496"/>
      <c r="M2" s="3496"/>
      <c r="N2" s="3496"/>
      <c r="O2" s="3496"/>
      <c r="P2" s="3496"/>
      <c r="Q2" s="3496"/>
      <c r="R2" s="3496"/>
    </row>
    <row r="3" spans="1:18">
      <c r="A3" s="3020" t="s">
        <v>2496</v>
      </c>
      <c r="B3" s="3021">
        <f>项目基本情况!D3</f>
        <v>45187</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3.25</v>
      </c>
      <c r="D5" s="3025">
        <f>IF(ISERROR(ROUND(POWER(1+E5,A5-C5)*(POWER(1+E5,C5)-1)/(POWER(1+E5,A5)-1),3)),0,ROUND(POWER(1+E5,A5-C5)*(POWER(1+E5,C5)-1)/(POWER(1+E5,A5)-1),4))</f>
        <v>0.1512</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13.26</v>
      </c>
      <c r="D6" s="3025">
        <f>IF(ISERROR(ROUND(POWER(1+E6,A6-C6)*(POWER(1+E6,C6)-1)/(POWER(1+E6,A6)-1),3)),0,ROUND(POWER(1+E6,A6-C6)*(POWER(1+E6,C6)-1)/(POWER(1+E6,A6)-1),4))</f>
        <v>0.47189999999999999</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3" sqref="I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45187</v>
      </c>
      <c r="C3" s="2374" t="s">
        <v>2171</v>
      </c>
      <c r="D3" s="2373">
        <v>45187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3393</v>
      </c>
      <c r="C8" s="2390"/>
      <c r="D8" s="3500" t="s">
        <v>2177</v>
      </c>
      <c r="E8" s="2391" t="s">
        <v>3394</v>
      </c>
      <c r="F8" s="2392"/>
      <c r="G8" s="2663"/>
      <c r="H8" s="2663"/>
      <c r="I8" s="2663"/>
      <c r="J8" s="2439"/>
      <c r="K8" s="2614"/>
      <c r="L8" s="2613"/>
      <c r="M8" s="2613"/>
      <c r="N8" s="2439"/>
      <c r="O8" s="2450"/>
      <c r="P8" s="2439"/>
      <c r="Q8" s="2439"/>
      <c r="R8" s="2439"/>
    </row>
    <row r="9" spans="1:30" ht="13.5" thickBot="1">
      <c r="A9" s="2393" t="s">
        <v>2178</v>
      </c>
      <c r="B9" s="2394" t="s">
        <v>3394</v>
      </c>
      <c r="C9" s="2395"/>
      <c r="D9" s="3501"/>
      <c r="E9" s="2394" t="s">
        <v>43</v>
      </c>
      <c r="F9" s="2396"/>
      <c r="G9" s="2665"/>
      <c r="H9" s="2665"/>
      <c r="I9" s="2665"/>
      <c r="J9" s="2439"/>
      <c r="K9" s="2616"/>
      <c r="L9" s="2613"/>
      <c r="M9" s="2613"/>
      <c r="N9" s="2439"/>
      <c r="O9" s="2450"/>
      <c r="P9" s="2439"/>
      <c r="Q9" s="2439"/>
      <c r="R9" s="2439"/>
    </row>
    <row r="10" spans="1:30" ht="13.5" thickTop="1">
      <c r="A10" s="2397" t="s">
        <v>2179</v>
      </c>
      <c r="B10" s="2398" t="s">
        <v>3395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3329</v>
      </c>
      <c r="B13" s="2407" t="s">
        <v>2190</v>
      </c>
      <c r="C13" s="856"/>
      <c r="D13" s="856"/>
      <c r="E13" s="856"/>
      <c r="F13" s="856"/>
      <c r="G13" s="856"/>
      <c r="H13" s="856">
        <v>55259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27.59</v>
      </c>
      <c r="I15" s="2410" t="str">
        <f>IF(A13="出让",IF(I13="","",ROUNDDOWN(MIN((I13-$D$3)/365,I14),2)),I14)</f>
        <v/>
      </c>
      <c r="J15" s="3064"/>
      <c r="K15" s="2451"/>
      <c r="L15" s="2451"/>
      <c r="M15" s="2509"/>
      <c r="N15" s="2451"/>
      <c r="O15" s="2509"/>
      <c r="P15" s="2439"/>
      <c r="Q15" s="2439"/>
      <c r="AD15" s="1745"/>
    </row>
    <row r="16" spans="1:30">
      <c r="A16" s="2400" t="s">
        <v>2193</v>
      </c>
      <c r="B16" s="3507"/>
      <c r="C16" s="3508"/>
      <c r="D16" s="3509"/>
      <c r="E16" s="2413" t="s">
        <v>2194</v>
      </c>
      <c r="F16" s="3510"/>
      <c r="G16" s="3511"/>
      <c r="H16" s="3511"/>
      <c r="I16" s="3512"/>
      <c r="J16" s="2439"/>
      <c r="K16" s="2617"/>
      <c r="L16" s="2451"/>
      <c r="M16" s="2451"/>
      <c r="N16" s="2509"/>
      <c r="O16" s="2451"/>
      <c r="P16" s="2509"/>
      <c r="Q16" s="2439"/>
      <c r="R16" s="2439"/>
    </row>
    <row r="17" spans="1:28">
      <c r="A17" s="313" t="s">
        <v>2195</v>
      </c>
      <c r="B17" s="302" t="s">
        <v>2196</v>
      </c>
      <c r="C17" s="8">
        <f>'数据-汇总表'!E3</f>
        <v>1155.3</v>
      </c>
      <c r="D17" s="2322" t="s">
        <v>2197</v>
      </c>
      <c r="E17" s="3513" t="s">
        <v>2198</v>
      </c>
      <c r="F17" s="3514"/>
      <c r="G17" s="3514"/>
      <c r="H17" s="3514"/>
      <c r="I17" s="351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6667.9</v>
      </c>
      <c r="D18" s="1092" t="s">
        <v>2201</v>
      </c>
      <c r="E18" s="3516" t="s">
        <v>2202</v>
      </c>
      <c r="F18" s="3517"/>
      <c r="G18" s="3517"/>
      <c r="H18" s="3517"/>
      <c r="I18" s="351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3" t="s">
        <v>2206</v>
      </c>
      <c r="C20" s="3504"/>
      <c r="D20" s="3505" t="s">
        <v>2207</v>
      </c>
      <c r="E20" s="3506"/>
      <c r="F20" s="2647" t="s">
        <v>1056</v>
      </c>
      <c r="G20" s="2664"/>
      <c r="H20" s="2664"/>
      <c r="I20" s="2664"/>
      <c r="J20" s="2439"/>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3376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6667.9</v>
      </c>
      <c r="B3" s="11">
        <f>IF(C3="否",G5-AT5,G5)</f>
        <v>1155.3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1155.3</v>
      </c>
      <c r="H5" s="13">
        <f t="shared" ref="H5:AT5" si="0">SUM(H13:H656)</f>
        <v>1155.3</v>
      </c>
      <c r="I5" s="13">
        <f t="shared" si="0"/>
        <v>1155.3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1155.3</v>
      </c>
      <c r="BA5" s="15">
        <f t="shared" si="1"/>
        <v>1155.3</v>
      </c>
      <c r="BB5" s="15">
        <f t="shared" si="1"/>
        <v>1155.3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6667.9</v>
      </c>
      <c r="F6" s="13" t="s">
        <v>0</v>
      </c>
      <c r="G6" s="13" t="s">
        <v>1</v>
      </c>
      <c r="H6" s="17">
        <f>SUMIF(I$12:AB$12,"总值",I6:AB6)</f>
        <v>6667.9</v>
      </c>
      <c r="I6" s="13">
        <f t="shared" ref="I6:AB6" si="2">ROUND($A$3*I5/$B$3,2)</f>
        <v>6667.9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6667.9</v>
      </c>
      <c r="AZ6" s="13" t="s">
        <v>2</v>
      </c>
      <c r="BA6" s="13">
        <f>ROUND($AY$6*BA5/$AZ$5,2)</f>
        <v>6667.9</v>
      </c>
      <c r="BB6" s="13">
        <f>ROUND($AY$6*BB5/$AZ$5,2)</f>
        <v>6667.9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2</v>
      </c>
      <c r="D13" s="1625" t="s">
        <v>3371</v>
      </c>
      <c r="E13" s="13">
        <f>IF($C$3="是",ROUND($A$3*G13/$B$3,2),ROUND($A$3*(G13-AT13)/$B$3,2))</f>
        <v>204.89</v>
      </c>
      <c r="F13" s="29"/>
      <c r="G13" s="30">
        <f>H13+AC13+AT13</f>
        <v>35.5</v>
      </c>
      <c r="H13" s="17">
        <f>SUMIF(I$12:AB$12,"总值",I13:AB13)</f>
        <v>35.5</v>
      </c>
      <c r="I13" s="1626">
        <v>35.5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v>
      </c>
      <c r="AY13" s="1349">
        <f>ROUND($AY$6*AZ13/$AZ$5,2)</f>
        <v>204.89</v>
      </c>
      <c r="AZ13" s="13">
        <f>BA13+BL13</f>
        <v>35.5</v>
      </c>
      <c r="BA13" s="13">
        <f>SUM(BB13:BK13)</f>
        <v>35.5</v>
      </c>
      <c r="BB13" s="13">
        <f>IF($D13="是",I13-J13,0)</f>
        <v>35.5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4</v>
      </c>
      <c r="D14" s="1625" t="s">
        <v>3371</v>
      </c>
      <c r="E14" s="13">
        <f>IF($C$3="是",ROUND($A$3*G14/$B$3,2),ROUND($A$3*(G14-AT14)/$B$3,2))</f>
        <v>683.93</v>
      </c>
      <c r="F14" s="29"/>
      <c r="G14" s="30">
        <f>H14+AC14+AT14</f>
        <v>118.5</v>
      </c>
      <c r="H14" s="17">
        <f>SUMIF(I$12:AB$12,"总值",I14:AB14)</f>
        <v>118.5</v>
      </c>
      <c r="I14" s="1626">
        <v>118.5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v>
      </c>
      <c r="AY14" s="1349">
        <f>ROUND($AY$6*AZ14/$AZ$5,2)</f>
        <v>683.93</v>
      </c>
      <c r="AZ14" s="13">
        <f>BA14+BL14</f>
        <v>118.5</v>
      </c>
      <c r="BA14" s="13">
        <f>SUM(BB14:BK14)</f>
        <v>118.5</v>
      </c>
      <c r="BB14" s="13">
        <f>IF($D14="是",I14-J14,0)</f>
        <v>118.5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5</v>
      </c>
      <c r="D15" s="1625" t="s">
        <v>3371</v>
      </c>
      <c r="E15" s="13">
        <f>IF($C$3="是",ROUND($A$3*G15/$B$3,2),ROUND($A$3*(G15-AT15)/$B$3,2))</f>
        <v>1916.16</v>
      </c>
      <c r="F15" s="29"/>
      <c r="G15" s="30">
        <f>H15+AC15+AT15</f>
        <v>332</v>
      </c>
      <c r="H15" s="17">
        <f>SUMIF(I$12:AB$12,"总值",I15:AB15)</f>
        <v>332</v>
      </c>
      <c r="I15" s="1626">
        <v>332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v>
      </c>
      <c r="AY15" s="1349">
        <f>ROUND($AY$6*AZ15/$AZ$5,2)</f>
        <v>1916.16</v>
      </c>
      <c r="AZ15" s="13">
        <f>BA15+BL15</f>
        <v>332</v>
      </c>
      <c r="BA15" s="13">
        <f>SUM(BB15:BK15)</f>
        <v>332</v>
      </c>
      <c r="BB15" s="13">
        <f>IF($D15="是",I15-J15,0)</f>
        <v>332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6</v>
      </c>
      <c r="D16" s="1625" t="s">
        <v>3371</v>
      </c>
      <c r="E16" s="13">
        <f>IF($C$3="是",ROUND($A$3*G16/$B$3,2),ROUND($A$3*(G16-AT16)/$B$3,2))</f>
        <v>3862.91</v>
      </c>
      <c r="F16" s="29"/>
      <c r="G16" s="30">
        <f>H16+AC16+AT16</f>
        <v>669.3</v>
      </c>
      <c r="H16" s="17">
        <f>SUMIF(I$12:AB$12,"总值",I16:AB16)</f>
        <v>669.3</v>
      </c>
      <c r="I16" s="1626">
        <v>669.3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6</v>
      </c>
      <c r="AY16" s="1349">
        <f>ROUND($AY$6*AZ16/$AZ$5,2)</f>
        <v>3862.91</v>
      </c>
      <c r="AZ16" s="13">
        <f>BA16+BL16</f>
        <v>669.3</v>
      </c>
      <c r="BA16" s="13">
        <f>SUM(BB16:BK16)</f>
        <v>669.3</v>
      </c>
      <c r="BB16" s="13">
        <f>IF($D16="是",I16-J16,0)</f>
        <v>669.3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2" sqref="L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6667.9</v>
      </c>
      <c r="E3" s="43">
        <f>'数据-基础表'!AZ5</f>
        <v>1155.3</v>
      </c>
      <c r="F3" s="2659"/>
      <c r="G3" s="1145"/>
      <c r="H3" s="1026" t="s">
        <v>1106</v>
      </c>
      <c r="I3" s="855">
        <f>ROUND('数据-基础表'!B3/'数据-基础表'!A3,2)</f>
        <v>0.17</v>
      </c>
      <c r="J3" s="2659"/>
      <c r="K3" s="2659"/>
      <c r="L3" s="2659"/>
      <c r="M3" s="2659"/>
      <c r="N3" s="2661"/>
      <c r="O3" s="2659"/>
      <c r="P3" s="2659"/>
    </row>
    <row r="4" spans="1:16" ht="15">
      <c r="A4" s="3538"/>
      <c r="B4" s="3539"/>
      <c r="C4" s="3540"/>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41" t="s">
        <v>1111</v>
      </c>
      <c r="C6" s="3541"/>
      <c r="D6" s="45">
        <f>ROUND($D$3*E6/$E$3,2)</f>
        <v>6667.9</v>
      </c>
      <c r="E6" s="46">
        <f>E3-E5</f>
        <v>1155.3</v>
      </c>
      <c r="F6" s="2659"/>
      <c r="G6" s="2653" t="s">
        <v>1112</v>
      </c>
      <c r="H6" s="1146" t="s">
        <v>1113</v>
      </c>
      <c r="I6" s="2654">
        <f>ROUND(F31/D31,2)</f>
        <v>0.17</v>
      </c>
      <c r="J6" s="2659"/>
      <c r="K6" s="2659"/>
      <c r="L6" s="2659"/>
      <c r="M6" s="2659"/>
      <c r="N6" s="2659"/>
      <c r="O6" s="2659"/>
      <c r="P6" s="2659"/>
    </row>
    <row r="7" spans="1:16" ht="15.75" thickBot="1">
      <c r="A7" s="3533"/>
      <c r="B7" s="3534"/>
      <c r="C7" s="3535"/>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6667.9</v>
      </c>
      <c r="E8" s="48">
        <f>SUMIF('数据-基础表'!BB10:BK10,"地上",'数据-基础表'!BB5:BK5)</f>
        <v>1155.3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6667.9</v>
      </c>
      <c r="E16" s="50">
        <f>SUM(E8:E15)</f>
        <v>1155.3</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3373</v>
      </c>
      <c r="D19" s="45">
        <f>ROUND($D$3*E19/$E$3,2)</f>
        <v>6667.9</v>
      </c>
      <c r="E19" s="53">
        <f t="shared" ref="E19:E26" si="1">SUM(F19:G19)</f>
        <v>1155.3</v>
      </c>
      <c r="F19" s="2795">
        <f>'数据-基础表'!I5</f>
        <v>1155.3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6667.9</v>
      </c>
      <c r="S19" s="1027">
        <f t="shared" si="5"/>
        <v>1155.3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6667.9</v>
      </c>
      <c r="E27" s="1141">
        <f>IF(SUM(E19:E26)='数据-基础表'!BA5,SUM(E19:E26),IF(F27="地上面积有误","面积有误","地下面积有误"))</f>
        <v>1155.3</v>
      </c>
      <c r="F27" s="1140">
        <f>IF(SUM(F19:F26)=E8,SUM(F19:F26),"地上面积有误")</f>
        <v>1155.3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6667.9</v>
      </c>
      <c r="S27" s="1026">
        <f>IF(SUM(S19:S26)=$E$3,SUM(S19:S26),SUM(S19:S26)&amp;"误差"&amp;ROUND(SUM(S19:S26)-E3,2))</f>
        <v>1155.3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6667.9</v>
      </c>
      <c r="E31" s="676">
        <f>E27+E30</f>
        <v>1155.3</v>
      </c>
      <c r="F31" s="677">
        <f>F27+F30</f>
        <v>1155.3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3" sqref="I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55259</v>
      </c>
      <c r="F6" s="64">
        <f>SUMIF(项目基本情况!C$12:I$12,C6,项目基本情况!C$15:I$15)</f>
        <v>27.59</v>
      </c>
      <c r="G6" s="65">
        <f>IF(ISERROR(ROUND(POWER(1+H6,D6-F6)*(POWER(1+H6,F6)-1)/(POWER(1+H6,D6)-1),3)),0,ROUND(POWER(1+H6,D6-F6)*(POWER(1+H6,F6)-1)/(POWER(1+H6,D6)-1),3))</f>
        <v>0.81</v>
      </c>
      <c r="H6" s="732">
        <v>0.05</v>
      </c>
      <c r="I6" s="732">
        <v>5.5E-2</v>
      </c>
      <c r="J6" s="66">
        <v>7.0000000000000007E-2</v>
      </c>
      <c r="K6" s="1030">
        <f>SUMIF('数据-汇总表'!C$19:C$33,A6,'数据-汇总表'!E$19:E$33)</f>
        <v>1155.3</v>
      </c>
      <c r="L6" s="733">
        <v>1500</v>
      </c>
      <c r="M6" s="67">
        <f t="shared" ref="M6:M14" si="0">ROUND(K6*L6/10000,0)</f>
        <v>173</v>
      </c>
      <c r="N6" s="731">
        <f>ROUND(1-(2023-2004)/60,2)</f>
        <v>0.68</v>
      </c>
      <c r="O6" s="67" t="str">
        <f>IF($N$5="成新度","——",ROUND(M6*N6,0))</f>
        <v>——</v>
      </c>
      <c r="P6" s="68" t="str">
        <f>IF($N$5="成新度","——",M6-O6)</f>
        <v>——</v>
      </c>
      <c r="Q6" s="734">
        <v>0.05</v>
      </c>
      <c r="R6" s="69">
        <f ca="1">SUMIF('数据-汇总表'!C$19:C$33,A6,'数据-汇总表'!R$19:R$27)</f>
        <v>6667.9</v>
      </c>
      <c r="S6" s="51">
        <f>IF('数据-汇总表'!$I$17="按面积比例",SUMIF('数据-汇总表'!C$19:C$33,A6,'数据-汇总表'!K$19:K$33),SUMIF('数据-汇总表'!C$19:C$33,A6,'数据-汇总表'!N$19:N$33))</f>
        <v>0</v>
      </c>
      <c r="T6" s="1172">
        <f>ROUND($L$14*S6/10000,0)</f>
        <v>0</v>
      </c>
      <c r="U6" s="3428">
        <f>'比较法-工业'!C43</f>
        <v>1.2</v>
      </c>
      <c r="V6" s="70">
        <v>0.02</v>
      </c>
      <c r="W6" s="70">
        <v>0.15</v>
      </c>
      <c r="X6" s="1040"/>
      <c r="Y6" s="71">
        <f>N6</f>
        <v>0.68</v>
      </c>
      <c r="Z6" s="72"/>
      <c r="AA6" s="66"/>
      <c r="AB6" s="66"/>
      <c r="AC6" s="1040"/>
      <c r="AD6" s="73"/>
      <c r="AE6" s="1041">
        <f ca="1">IF(AN6="",0,SUMIF(INDIRECT("'"&amp;AN6&amp;"'"&amp;"!E:E"),$AE$5,INDIRECT("'"&amp;AN6&amp;"'"&amp;"!F:F")))</f>
        <v>27.59</v>
      </c>
      <c r="AF6" s="1348"/>
      <c r="AG6" s="138">
        <f>IF(AF6="",0,AE6-AF6)</f>
        <v>0</v>
      </c>
      <c r="AH6" s="74"/>
      <c r="AI6" s="76">
        <v>365</v>
      </c>
      <c r="AJ6" s="77"/>
      <c r="AK6" s="78">
        <v>5.0000000000000001E-3</v>
      </c>
      <c r="AL6" s="79">
        <v>1E-3</v>
      </c>
      <c r="AM6" s="80">
        <v>5.0000000000000001E-3</v>
      </c>
      <c r="AN6" s="1715" t="s">
        <v>3399</v>
      </c>
      <c r="AO6" s="52">
        <f ca="1">SUMIF(INDIRECT("'"&amp;AN6&amp;"'"&amp;"!A:A"),"总价",INDIRECT("'"&amp;AN6&amp;"'"&amp;"!B:B"))</f>
        <v>576.67079999999999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1155.3</v>
      </c>
      <c r="L16" s="93">
        <f>ROUND(M16*10000/SUM(K6:K14),0)</f>
        <v>1497</v>
      </c>
      <c r="M16" s="93">
        <f>SUM(M6:M14)</f>
        <v>173</v>
      </c>
      <c r="N16" s="94">
        <f>ROUND(SUMPRODUCT(M6:M14,N6:N14)/M16,3)</f>
        <v>0.68</v>
      </c>
      <c r="O16" s="93">
        <f>SUM(O6:O14)</f>
        <v>0</v>
      </c>
      <c r="P16" s="93">
        <f>SUM(P6:P14)</f>
        <v>0</v>
      </c>
      <c r="Q16" s="95">
        <f>ROUND(SUMPRODUCT(Q6:Q13,K6:K13)/SUMPRODUCT((Q6:Q13&gt;0)*(K6:K13)),2)</f>
        <v>0.05</v>
      </c>
      <c r="R16" s="1034">
        <f ca="1">SUM(R6:R13)</f>
        <v>6667.9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2294</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2298</v>
      </c>
      <c r="D27" s="2679"/>
      <c r="E27" s="2661"/>
      <c r="F27" s="2661"/>
      <c r="G27" s="2673" t="s">
        <v>3375</v>
      </c>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22</v>
      </c>
      <c r="C29" s="2802" t="s">
        <v>2285</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2277</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1155.3</v>
      </c>
      <c r="C1" s="2686"/>
      <c r="D1" s="2686"/>
      <c r="E1" s="2686"/>
      <c r="F1" s="2686"/>
      <c r="G1" s="2687"/>
      <c r="H1" s="2688"/>
      <c r="I1" s="2688"/>
      <c r="J1" s="2688"/>
      <c r="K1" s="2688"/>
    </row>
    <row r="2" spans="1:11" ht="16.5">
      <c r="A2" s="2512" t="s">
        <v>653</v>
      </c>
      <c r="B2" s="2512">
        <f>SUM(C14:C23)</f>
        <v>6667.9</v>
      </c>
      <c r="C2" s="2686"/>
      <c r="D2" s="2686"/>
      <c r="E2" s="2686"/>
      <c r="F2" s="2686"/>
      <c r="G2" s="2687"/>
      <c r="H2" s="2688"/>
      <c r="I2" s="2688"/>
      <c r="J2" s="2688"/>
      <c r="K2" s="2688"/>
    </row>
    <row r="3" spans="1:11" ht="16.5">
      <c r="A3" s="2512" t="s">
        <v>662</v>
      </c>
      <c r="B3" s="2514">
        <f>项目基本情况!D3</f>
        <v>45187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695</v>
      </c>
      <c r="C5" s="2512">
        <f ca="1">IF(B5=D14,结果表!H102,ROUND(B5*10000/$B$1,0))</f>
        <v>6016</v>
      </c>
      <c r="D5" s="2512">
        <f ca="1">ROUND(B5*10000/$B$2,0)</f>
        <v>1042</v>
      </c>
      <c r="E5" s="2686"/>
      <c r="F5" s="2687"/>
      <c r="G5" s="2687"/>
      <c r="H5" s="2688"/>
      <c r="I5" s="2688"/>
      <c r="J5" s="2688"/>
      <c r="K5" s="2688"/>
    </row>
    <row r="6" spans="1:11" ht="16.5">
      <c r="A6" s="2512" t="s">
        <v>656</v>
      </c>
      <c r="B6" s="2512">
        <f ca="1">SUM(G14:G23)</f>
        <v>695</v>
      </c>
      <c r="C6" s="2512">
        <f ca="1">IF(B6=G14,结果表!H108,ROUND(B6*10000/$B$1,0))</f>
        <v>6016</v>
      </c>
      <c r="D6" s="2512">
        <f ca="1">ROUND(B6*10000/$B$2,0)</f>
        <v>1042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1155.3</v>
      </c>
      <c r="C14" s="2518">
        <f>'数据-汇总表'!D3</f>
        <v>6667.9</v>
      </c>
      <c r="D14" s="2518">
        <f ca="1">结果表!G19</f>
        <v>695</v>
      </c>
      <c r="E14" s="2518">
        <f ca="1">ROUND(D14*10000/B14,0)</f>
        <v>6016</v>
      </c>
      <c r="F14" s="2518">
        <f ca="1">ROUND(D14*10000/C14,0)</f>
        <v>1042</v>
      </c>
      <c r="G14" s="2518">
        <f ca="1">D14</f>
        <v>695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3388</v>
      </c>
      <c r="H1" s="1750" t="str">
        <f>IF(G1="现房","——","估价对象范围")</f>
        <v>——</v>
      </c>
      <c r="I1" s="1751" t="s">
        <v>3389</v>
      </c>
    </row>
    <row r="2" spans="1:12" ht="21.75" customHeight="1" thickBot="1">
      <c r="A2" s="3611" t="str">
        <f>项目基本情况!S2</f>
        <v>北京市房地产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3400</v>
      </c>
      <c r="D4" s="1756" t="s">
        <v>3399</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4</v>
      </c>
      <c r="D14" s="3605">
        <v>6</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6" t="s">
        <v>2131</v>
      </c>
      <c r="F18" s="3637"/>
      <c r="G18" s="3637"/>
      <c r="H18" s="3637"/>
      <c r="I18" s="3637"/>
      <c r="K18" s="302" t="s">
        <v>1289</v>
      </c>
      <c r="L18" s="302">
        <f>IF(C1="",'数据-汇总表'!E3,SUMIF(项目类型,C1,'数据-汇总表'!E17:E26)+SUMIF(项目类型,C1,'数据-汇总表'!I17:I26))</f>
        <v>1155.3</v>
      </c>
      <c r="M18" s="302">
        <f>IF(C1="",'数据-汇总表'!E3,SUMIF(项目类型,C1,'数据-汇总表'!E17:E26))</f>
        <v>1155.3</v>
      </c>
    </row>
    <row r="19" spans="1:36" ht="15">
      <c r="A19" s="1761" t="s">
        <v>1290</v>
      </c>
      <c r="B19" s="1762" t="s">
        <v>1291</v>
      </c>
      <c r="C19" s="134">
        <f ca="1">SUMIF(INDIRECT("'"&amp;C4&amp;"'"&amp;"!A:A"),结果表!B19,INDIRECT("'"&amp;C4&amp;"'"&amp;"!B:B"))</f>
        <v>873.53060000000005</v>
      </c>
      <c r="D19" s="135">
        <f ca="1">SUMIF(INDIRECT("'"&amp;D4&amp;"'"&amp;"!A:A"),结果表!B19,INDIRECT("'"&amp;D4&amp;"'"&amp;"!B:B"))</f>
        <v>576.67079999999999</v>
      </c>
      <c r="E19" s="1761" t="s">
        <v>1292</v>
      </c>
      <c r="F19" s="1762" t="s">
        <v>1291</v>
      </c>
      <c r="G19" s="136">
        <f ca="1">ROUND(C19*$C$18+D19*$D$18,0)</f>
        <v>695</v>
      </c>
      <c r="H19" s="1763" t="s">
        <v>1293</v>
      </c>
      <c r="I19" s="129"/>
      <c r="K19" s="302" t="s">
        <v>1294</v>
      </c>
      <c r="L19" s="302">
        <f>IF(C1="",'数据-汇总表'!D3,SUMIF(项目类型,C1,'数据-汇总表'!D17:D26)+SUMIF(项目类型,C1,'数据-汇总表'!H17:H27))</f>
        <v>6667.9</v>
      </c>
      <c r="M19" s="302">
        <f>IF(C1="",'数据-汇总表'!D3,SUMIF(项目类型,C1,'数据-汇总表'!D17:D26))</f>
        <v>6667.9</v>
      </c>
    </row>
    <row r="20" spans="1:36" ht="15">
      <c r="A20" s="1764"/>
      <c r="B20" s="1026" t="s">
        <v>1295</v>
      </c>
      <c r="C20" s="137">
        <f ca="1">SUMIF(INDIRECT("'"&amp;C4&amp;"'"&amp;"!A:A"),结果表!B20,INDIRECT("'"&amp;C4&amp;"'"&amp;"!B:B"))</f>
        <v>7561</v>
      </c>
      <c r="D20" s="138">
        <f ca="1">SUMIF(INDIRECT("'"&amp;D4&amp;"'"&amp;"!A:A"),结果表!B20,INDIRECT("'"&amp;D4&amp;"'"&amp;"!B:B"))</f>
        <v>4992</v>
      </c>
      <c r="E20" s="1764"/>
      <c r="F20" s="1026" t="s">
        <v>1295</v>
      </c>
      <c r="G20" s="139">
        <f ca="1">ROUND(C20*$C$18+D20*$D$18,0)</f>
        <v>6020</v>
      </c>
      <c r="H20" s="808" t="s">
        <v>1296</v>
      </c>
      <c r="I20" s="129"/>
    </row>
    <row r="21" spans="1:36" ht="15" customHeight="1" thickBot="1">
      <c r="A21" s="828"/>
      <c r="B21" s="1765" t="s">
        <v>1297</v>
      </c>
      <c r="C21" s="719">
        <f ca="1">ROUND(C19*10000/L19,0)</f>
        <v>1310</v>
      </c>
      <c r="D21" s="720">
        <f ca="1">ROUND(D19*10000/L19,0)</f>
        <v>865</v>
      </c>
      <c r="E21" s="828"/>
      <c r="F21" s="1765" t="s">
        <v>1297</v>
      </c>
      <c r="G21" s="140">
        <f ca="1">ROUND(G19*10000/L19,0)</f>
        <v>1042</v>
      </c>
      <c r="H21" s="1766" t="s">
        <v>1296</v>
      </c>
      <c r="I21" s="129"/>
    </row>
    <row r="22" spans="1:36" ht="15" thickBot="1">
      <c r="A22" s="1688" t="s">
        <v>1298</v>
      </c>
      <c r="B22" s="1767"/>
      <c r="C22" s="1768"/>
      <c r="D22" s="721">
        <f ca="1">IF(C19&lt;D19,D19/C19-1,C19/D19-1)</f>
        <v>0.5147820905792353</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695</v>
      </c>
      <c r="D32" s="1775" t="s">
        <v>3390</v>
      </c>
      <c r="E32" s="129"/>
      <c r="F32" s="129"/>
      <c r="G32" s="129"/>
      <c r="H32" s="129"/>
      <c r="I32" s="129"/>
    </row>
    <row r="33" spans="1:15" ht="15">
      <c r="A33" s="786" t="s">
        <v>1306</v>
      </c>
      <c r="B33" s="1776"/>
      <c r="C33" s="1777" t="s">
        <v>3392</v>
      </c>
      <c r="D33" s="1778" t="s">
        <v>3399</v>
      </c>
      <c r="E33" s="1779" t="s">
        <v>1307</v>
      </c>
      <c r="F33" s="1780" t="str">
        <f>IF(D32="楼面单价","取值（单价）","取值（总价）")</f>
        <v>取值（总价）</v>
      </c>
      <c r="G33" s="129"/>
      <c r="H33" s="129"/>
      <c r="I33" s="129"/>
    </row>
    <row r="34" spans="1:15" ht="15">
      <c r="A34" s="1781"/>
      <c r="B34" s="1782" t="s">
        <v>1308</v>
      </c>
      <c r="C34" s="148">
        <f ca="1">IF(C33="自定义",F34,C32-C35)</f>
        <v>457</v>
      </c>
      <c r="D34" s="861">
        <f ca="1">IF(C33="自定义",ROUND(C34/C32,3),IF(C33="收益比率",SUMIF(INDIRECT("'"&amp;D33&amp;"'"&amp;"!b:b"),"土地收益比率",INDIRECT("'"&amp;D33&amp;"'"&amp;"!c:c")),SUMIF(INDIRECT("'"&amp;D33&amp;"'"&amp;"!b:b"),"土地成本比率",INDIRECT("'"&amp;D33&amp;"'"&amp;"!c:c"))))</f>
        <v>0.65700000000000003</v>
      </c>
      <c r="E34" s="1783" t="s">
        <v>1309</v>
      </c>
      <c r="F34" s="1330"/>
      <c r="G34" s="129"/>
      <c r="H34" s="129"/>
      <c r="I34" s="129"/>
    </row>
    <row r="35" spans="1:15" ht="15.75" thickBot="1">
      <c r="A35" s="1784"/>
      <c r="B35" s="1785" t="s">
        <v>1310</v>
      </c>
      <c r="C35" s="1170">
        <f ca="1">IF(C33="自定义",F35,ROUND(C32*D35,0))</f>
        <v>238</v>
      </c>
      <c r="D35" s="1171">
        <f ca="1">IF(C33="自定义",ROUND(C35/C32,3),IF(C33="收益比率",SUMIF(INDIRECT("'"&amp;D33&amp;"'"&amp;"!b:b"),"建筑物收益比率",INDIRECT("'"&amp;D33&amp;"'"&amp;"!c:c")),SUMIF(INDIRECT("'"&amp;D33&amp;"'"&amp;"!b:b"),"建筑物成本比率",INDIRECT("'"&amp;D33&amp;"'"&amp;"!c:c"))))</f>
        <v>0.34300000000000003</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695</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3">
        <v>1</v>
      </c>
      <c r="K46" s="3547" t="s">
        <v>1331</v>
      </c>
      <c r="L46" s="3547"/>
      <c r="M46" s="3548"/>
      <c r="N46" s="3548"/>
      <c r="O46" s="3548"/>
    </row>
    <row r="47" spans="1:15" ht="12" customHeight="1">
      <c r="A47" s="160" t="s">
        <v>1332</v>
      </c>
      <c r="B47" s="161"/>
      <c r="C47" s="162"/>
      <c r="D47" s="1087" t="s">
        <v>1333</v>
      </c>
      <c r="E47" s="302" t="s">
        <v>1334</v>
      </c>
      <c r="F47" s="163" t="s">
        <v>1335</v>
      </c>
      <c r="G47" s="2546" t="s">
        <v>1336</v>
      </c>
      <c r="H47" s="2547"/>
      <c r="I47" s="159"/>
      <c r="J47" s="2523">
        <v>2</v>
      </c>
      <c r="K47" s="3547" t="s">
        <v>1337</v>
      </c>
      <c r="L47" s="3547"/>
      <c r="M47" s="3549">
        <f>'数据-取费表'!B2</f>
        <v>45187</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7" t="s">
        <v>1340</v>
      </c>
      <c r="L48" s="3547"/>
      <c r="M48" s="3550">
        <f ca="1">H101</f>
        <v>695</v>
      </c>
      <c r="N48" s="3550"/>
      <c r="O48" s="3550"/>
    </row>
    <row r="49" spans="1:35" ht="25.5" customHeight="1">
      <c r="A49" s="2333" t="s">
        <v>1341</v>
      </c>
      <c r="B49" s="3595" t="s">
        <v>1342</v>
      </c>
      <c r="C49" s="3595"/>
      <c r="D49" s="1590">
        <v>0</v>
      </c>
      <c r="E49" s="324" t="s">
        <v>1343</v>
      </c>
      <c r="F49" s="2424" t="s">
        <v>28</v>
      </c>
      <c r="G49" s="3578"/>
      <c r="H49" s="2310" t="s">
        <v>2134</v>
      </c>
      <c r="I49" s="2311"/>
      <c r="J49" s="2523">
        <v>4</v>
      </c>
      <c r="K49" s="3547" t="str">
        <f>IF(项目基本情况!E8="房地产抵押价值","房地产抵押价值","抵押担保权已注销时的房地产抵押价值")</f>
        <v>房地产抵押价值</v>
      </c>
      <c r="L49" s="3547"/>
      <c r="M49" s="3550">
        <f ca="1">IF(项目基本情况!E8="房地产抵押价值",H107,H109)</f>
        <v>695</v>
      </c>
      <c r="N49" s="3550"/>
      <c r="O49" s="3550"/>
    </row>
    <row r="50" spans="1:35" ht="25.5" customHeight="1">
      <c r="A50" s="2551"/>
      <c r="B50" s="3595" t="s">
        <v>1344</v>
      </c>
      <c r="C50" s="3595"/>
      <c r="D50" s="2552"/>
      <c r="E50" s="332"/>
      <c r="F50" s="2424"/>
      <c r="G50" s="3579"/>
      <c r="H50" s="2312" t="s">
        <v>2135</v>
      </c>
      <c r="I50" s="2311"/>
      <c r="J50" s="3546" t="s">
        <v>1345</v>
      </c>
      <c r="K50" s="3546"/>
      <c r="L50" s="3546"/>
      <c r="M50" s="3546"/>
      <c r="N50" s="3546"/>
      <c r="O50" s="3546"/>
    </row>
    <row r="51" spans="1:35" ht="20.45" customHeight="1">
      <c r="A51" s="2553"/>
      <c r="B51" s="3595" t="s">
        <v>1346</v>
      </c>
      <c r="C51" s="3595"/>
      <c r="D51" s="1087"/>
      <c r="E51" s="327"/>
      <c r="F51" s="2424"/>
      <c r="G51" s="3580"/>
      <c r="H51" s="2312" t="s">
        <v>2136</v>
      </c>
      <c r="I51" s="2311"/>
      <c r="J51" s="2524" t="s">
        <v>1347</v>
      </c>
      <c r="K51" s="3547" t="s">
        <v>1348</v>
      </c>
      <c r="L51" s="3547"/>
      <c r="M51" s="2524" t="s">
        <v>1349</v>
      </c>
      <c r="N51" s="2524" t="s">
        <v>1350</v>
      </c>
      <c r="O51" s="2524" t="s">
        <v>1351</v>
      </c>
    </row>
    <row r="52" spans="1:35" ht="24" customHeight="1">
      <c r="A52" s="2335" t="s">
        <v>1352</v>
      </c>
      <c r="B52" s="3595" t="s">
        <v>1353</v>
      </c>
      <c r="C52" s="3595"/>
      <c r="D52" s="1087">
        <f ca="1">ROUND(D45*'数据-取费表'!B41/(1+'数据-取费表'!C42),0)</f>
        <v>36</v>
      </c>
      <c r="E52" s="2334" t="s">
        <v>1354</v>
      </c>
      <c r="F52" s="2554">
        <f>'数据-取费表'!B41</f>
        <v>5.5000000000000007E-2</v>
      </c>
      <c r="G52" s="2555"/>
      <c r="H52" s="2544"/>
      <c r="I52" s="1807"/>
      <c r="J52" s="2523">
        <v>1</v>
      </c>
      <c r="K52" s="3572" t="s">
        <v>1355</v>
      </c>
      <c r="L52" s="3572"/>
      <c r="M52" s="2525" t="b">
        <f>D48</f>
        <v>0</v>
      </c>
      <c r="N52" s="2523" t="str">
        <f>E48</f>
        <v>销售额×税（费）率</v>
      </c>
      <c r="O52" s="2526">
        <f>F48</f>
        <v>5.5000000000000007E-2</v>
      </c>
    </row>
    <row r="53" spans="1:35" ht="12" customHeight="1">
      <c r="A53" s="2335" t="s">
        <v>1356</v>
      </c>
      <c r="B53" s="3596" t="s">
        <v>2282</v>
      </c>
      <c r="C53" s="3597"/>
      <c r="D53" s="1087">
        <f ca="1">ROUND(D45*'数据-取费表'!B41/(1+'数据-取费表'!C42),0)</f>
        <v>36</v>
      </c>
      <c r="E53" s="2334" t="s">
        <v>1354</v>
      </c>
      <c r="F53" s="2554">
        <f>'数据-取费表'!B41</f>
        <v>5.5000000000000007E-2</v>
      </c>
      <c r="G53" s="2555"/>
      <c r="H53" s="2544"/>
      <c r="I53" s="1807"/>
      <c r="J53" s="2523">
        <v>2</v>
      </c>
      <c r="K53" s="3572" t="s">
        <v>1357</v>
      </c>
      <c r="L53" s="3572"/>
      <c r="M53" s="2525">
        <f t="shared" ref="M53:O54" ca="1" si="0">D55</f>
        <v>0</v>
      </c>
      <c r="N53" s="2523" t="str">
        <f t="shared" si="0"/>
        <v>销售额×税（费）率</v>
      </c>
      <c r="O53" s="2526" t="str">
        <f t="shared" si="0"/>
        <v>免征</v>
      </c>
    </row>
    <row r="54" spans="1:35" ht="12" customHeight="1">
      <c r="A54" s="2335" t="s">
        <v>1358</v>
      </c>
      <c r="B54" s="3596" t="s">
        <v>2283</v>
      </c>
      <c r="C54" s="3597"/>
      <c r="D54" s="1087">
        <f ca="1">C68</f>
        <v>36</v>
      </c>
      <c r="E54" s="327" t="s">
        <v>1359</v>
      </c>
      <c r="F54" s="2554">
        <f>'数据-取费表'!B41</f>
        <v>5.5000000000000007E-2</v>
      </c>
      <c r="G54" s="2555"/>
      <c r="H54" s="2556"/>
      <c r="I54" s="1807"/>
      <c r="J54" s="2523">
        <v>3</v>
      </c>
      <c r="K54" s="3572" t="s">
        <v>1360</v>
      </c>
      <c r="L54" s="3572"/>
      <c r="M54" s="2525">
        <f t="shared" ca="1" si="0"/>
        <v>394</v>
      </c>
      <c r="N54" s="2523" t="str">
        <f t="shared" si="0"/>
        <v>增值额×税（费）率</v>
      </c>
      <c r="O54" s="2527" t="str">
        <f t="shared" si="0"/>
        <v>免征</v>
      </c>
    </row>
    <row r="55" spans="1:35" ht="24" customHeight="1">
      <c r="A55" s="3632" t="s">
        <v>1361</v>
      </c>
      <c r="B55" s="3610"/>
      <c r="C55" s="3610"/>
      <c r="D55" s="2324">
        <f ca="1">IF(H55="个人住宅",0,ROUND(D45*I55,0))</f>
        <v>0</v>
      </c>
      <c r="E55" s="2334" t="s">
        <v>1362</v>
      </c>
      <c r="F55" s="2554" t="str">
        <f>IF(H55="正常",I55,"免征")</f>
        <v>免征</v>
      </c>
      <c r="G55" s="2555"/>
      <c r="H55" s="2550"/>
      <c r="I55" s="165">
        <f>'数据-取费表'!B49</f>
        <v>5.0000000000000001E-4</v>
      </c>
      <c r="J55" s="2523">
        <f>IF(H59="非个人房产","",4)</f>
        <v>4</v>
      </c>
      <c r="K55" s="3572" t="str">
        <f>IF(H59="非个人房产","——","个人所得税")</f>
        <v>个人所得税</v>
      </c>
      <c r="L55" s="3572"/>
      <c r="M55" s="2528">
        <f ca="1">D59</f>
        <v>7</v>
      </c>
      <c r="N55" s="2040" t="str">
        <f>E59</f>
        <v>差额计税</v>
      </c>
      <c r="O55" s="2529">
        <f>F59</f>
        <v>0.01</v>
      </c>
    </row>
    <row r="56" spans="1:35" ht="24.75">
      <c r="A56" s="3632" t="s">
        <v>1363</v>
      </c>
      <c r="B56" s="3610"/>
      <c r="C56" s="3610"/>
      <c r="D56" s="2324">
        <f ca="1">IF(H56="个人住宅",D57,D58)</f>
        <v>394</v>
      </c>
      <c r="E56" s="2334" t="s">
        <v>1364</v>
      </c>
      <c r="F56" s="2554" t="str">
        <f>IF(H56="正常",F58,"免征")</f>
        <v>免征</v>
      </c>
      <c r="G56" s="2557" t="s">
        <v>1365</v>
      </c>
      <c r="H56" s="2558"/>
      <c r="I56" s="1808"/>
      <c r="J56" s="2523" t="str">
        <f>IF(项目基本情况!K6="上海银行",IF(J55="",4,J55+1),"")</f>
        <v/>
      </c>
      <c r="K56" s="3553" t="str">
        <f>IF(项目基本情况!K6="上海银行","其他处置费用","")</f>
        <v/>
      </c>
      <c r="L56" s="3554"/>
      <c r="M56" s="2525"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5"/>
      <c r="H57" s="2559"/>
      <c r="I57" s="1808"/>
      <c r="J57" s="3572">
        <f>IF(AND(J55="",J56=""),4,IF(项目基本情况!K6="上海银行",结果表!J56+1,结果表!J55+1))</f>
        <v>5</v>
      </c>
      <c r="K57" s="3572" t="s">
        <v>1367</v>
      </c>
      <c r="L57" s="2530" t="s">
        <v>1368</v>
      </c>
      <c r="M57" s="2531"/>
      <c r="N57" s="2532">
        <f ca="1">SUMIF(M52:M56,"&lt;9e307")</f>
        <v>401</v>
      </c>
      <c r="O57" s="2533"/>
      <c r="P57" s="2690">
        <f ca="1">N57/M49</f>
        <v>0.57697841726618704</v>
      </c>
    </row>
    <row r="58" spans="1:35" ht="24.75">
      <c r="A58" s="2335" t="s">
        <v>1352</v>
      </c>
      <c r="B58" s="3596" t="s">
        <v>1369</v>
      </c>
      <c r="C58" s="3595"/>
      <c r="D58" s="2324">
        <f ca="1">IF(H58="转让取得",C81,C97)</f>
        <v>394</v>
      </c>
      <c r="E58" s="2334" t="s">
        <v>1364</v>
      </c>
      <c r="F58" s="302" t="s">
        <v>28</v>
      </c>
      <c r="G58" s="2555"/>
      <c r="H58" s="2558"/>
      <c r="I58" s="1808"/>
      <c r="J58" s="3572"/>
      <c r="K58" s="3572"/>
      <c r="L58" s="2530" t="s">
        <v>1370</v>
      </c>
      <c r="M58" s="2534"/>
      <c r="N58" s="2535" t="str">
        <f ca="1">NUMBERSTRING(INT(N57*10000),2)&amp;"元整"</f>
        <v>肆佰零壹万元整</v>
      </c>
      <c r="O58" s="2536"/>
    </row>
    <row r="59" spans="1:35" ht="24.75" thickBot="1">
      <c r="A59" s="3576" t="s">
        <v>1371</v>
      </c>
      <c r="B59" s="3577"/>
      <c r="C59" s="3577"/>
      <c r="D59" s="2560">
        <f ca="1">IF(H59="非个人房产","——",IF(H59="个人住宅（满五唯一有凭证）",0,IF(H59="个人其他（无凭证）",ROUND(D45*F59,0),ROUND(C67*F59,0))))</f>
        <v>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4">
        <f>J57+1</f>
        <v>6</v>
      </c>
      <c r="K59" s="3572" t="s">
        <v>1372</v>
      </c>
      <c r="L59" s="2523" t="s">
        <v>1368</v>
      </c>
      <c r="M59" s="2537"/>
      <c r="N59" s="2538">
        <f ca="1">M49-N57</f>
        <v>294</v>
      </c>
      <c r="O59" s="2539"/>
    </row>
    <row r="60" spans="1:35" ht="12" customHeight="1">
      <c r="A60" s="1809"/>
      <c r="B60" s="1747"/>
      <c r="C60" s="1747"/>
      <c r="D60" s="1747"/>
      <c r="E60" s="1578"/>
      <c r="F60" s="1808"/>
      <c r="G60" s="1808"/>
      <c r="H60" s="1810"/>
      <c r="I60" s="129"/>
      <c r="J60" s="3575"/>
      <c r="K60" s="3572"/>
      <c r="L60" s="2530" t="s">
        <v>1370</v>
      </c>
      <c r="M60" s="2534"/>
      <c r="N60" s="2535" t="str">
        <f ca="1">NUMBERSTRING(INT(N59*10000),2)&amp;"元整"</f>
        <v>贰佰玖拾肆万元整</v>
      </c>
      <c r="O60" s="2536"/>
    </row>
    <row r="61" spans="1:35" ht="13.5" thickBot="1">
      <c r="A61" s="3631" t="s">
        <v>1373</v>
      </c>
      <c r="B61" s="3631"/>
      <c r="C61" s="3631"/>
      <c r="D61" s="3631"/>
      <c r="E61" s="3631"/>
      <c r="F61" s="1808"/>
      <c r="G61" s="1808"/>
      <c r="H61" s="1810"/>
      <c r="I61" s="129"/>
      <c r="J61" s="2523">
        <f>J59+1</f>
        <v>7</v>
      </c>
      <c r="K61" s="3572" t="s">
        <v>1374</v>
      </c>
      <c r="L61" s="3572"/>
      <c r="M61" s="2540"/>
      <c r="N61" s="2541">
        <f ca="1">ROUND(N59*10000/'数据-汇总表'!E3,0)</f>
        <v>2545</v>
      </c>
      <c r="O61" s="2542"/>
    </row>
    <row r="62" spans="1:35" ht="12.75">
      <c r="A62" s="3591" t="s">
        <v>1375</v>
      </c>
      <c r="B62" s="3592"/>
      <c r="C62" s="2021"/>
      <c r="D62" s="2021" t="s">
        <v>1376</v>
      </c>
      <c r="E62" s="166" t="s">
        <v>1377</v>
      </c>
      <c r="F62" s="1808"/>
      <c r="G62" s="1808"/>
      <c r="H62" s="1810"/>
      <c r="I62" s="129"/>
    </row>
    <row r="63" spans="1:35" ht="12.75">
      <c r="A63" s="173" t="s">
        <v>330</v>
      </c>
      <c r="B63" s="167" t="s">
        <v>1378</v>
      </c>
      <c r="C63" s="2564">
        <f ca="1">ROUND((C64+C65)/(1+'数据-取费表'!C42),0)</f>
        <v>662</v>
      </c>
      <c r="D63" s="167"/>
      <c r="E63" s="168"/>
      <c r="F63" s="1808"/>
      <c r="G63" s="1808"/>
      <c r="H63" s="1810"/>
      <c r="I63" s="129"/>
      <c r="J63" s="3555" t="s">
        <v>1379</v>
      </c>
      <c r="K63" s="1332" t="s">
        <v>1380</v>
      </c>
      <c r="L63" s="1332">
        <f ca="1">IF(M49&gt;10000,M49*0.5%,IF(AND(M49&gt;1000,M49&lt;=10000),M49*1%,IF(AND(M49&gt;100,M49&lt;=1000),M49*3%,IF(AND(M49&gt;10,M49&lt;=100),M49*5%,M49*8%))))</f>
        <v>20.849999999999998</v>
      </c>
      <c r="M63" s="302">
        <f ca="1">ROUND(L63,1)</f>
        <v>20.9</v>
      </c>
      <c r="N63" s="2543"/>
      <c r="Z63" s="1752"/>
      <c r="AI63" s="1753"/>
    </row>
    <row r="64" spans="1:35" ht="14.25" customHeight="1">
      <c r="A64" s="169" t="s">
        <v>325</v>
      </c>
      <c r="B64" s="170" t="s">
        <v>1381</v>
      </c>
      <c r="C64" s="2565">
        <f ca="1">D45</f>
        <v>695</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4.8649999999999993</v>
      </c>
      <c r="M64" s="302">
        <f t="shared" ref="M64:M65" ca="1" si="1">ROUND(L64,1)</f>
        <v>4.9000000000000004</v>
      </c>
      <c r="N64" s="2544" t="s">
        <v>1383</v>
      </c>
      <c r="Z64" s="1752"/>
      <c r="AI64" s="1753"/>
    </row>
    <row r="65" spans="1:35" ht="14.25" customHeight="1">
      <c r="A65" s="169" t="s">
        <v>326</v>
      </c>
      <c r="B65" s="170" t="s">
        <v>1384</v>
      </c>
      <c r="C65" s="2566"/>
      <c r="D65" s="170"/>
      <c r="E65" s="172"/>
      <c r="F65" s="1808"/>
      <c r="G65" s="1808"/>
      <c r="H65" s="1810"/>
      <c r="I65" s="129"/>
      <c r="J65" s="3555"/>
      <c r="K65" s="1332" t="s">
        <v>1385</v>
      </c>
      <c r="L65" s="1332">
        <f ca="1">IF(M49&gt;1000,M49*0.1%,IF(AND(M49&gt;500,M49&lt;=1000),M49*0.5%,IF(AND(M49&gt;50,M49&lt;=500),M49*1%,IF(AND(M49&gt;1,M49&lt;=50),M49*1.5%))))</f>
        <v>3.4750000000000001</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555"/>
      <c r="K66" s="1332" t="s">
        <v>1387</v>
      </c>
      <c r="L66" s="1332">
        <f ca="1">M49*0.5%</f>
        <v>3.4750000000000001</v>
      </c>
      <c r="M66" s="302">
        <f ca="1">IF(L66&gt;0.5,0.5,ROUND(L66,0))</f>
        <v>0.5</v>
      </c>
      <c r="N66" s="2544" t="s">
        <v>1388</v>
      </c>
      <c r="Z66" s="1752"/>
      <c r="AI66" s="1753"/>
    </row>
    <row r="67" spans="1:35" ht="14.25" customHeight="1">
      <c r="A67" s="173" t="s">
        <v>328</v>
      </c>
      <c r="B67" s="174" t="s">
        <v>1389</v>
      </c>
      <c r="C67" s="2568">
        <f ca="1">C63-C66</f>
        <v>662</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1.9875</v>
      </c>
      <c r="M67" s="302">
        <f ca="1">ROUND(L67*0.9,1)</f>
        <v>1.8</v>
      </c>
      <c r="N67" s="2543"/>
      <c r="Z67" s="1752"/>
      <c r="AI67" s="1753"/>
    </row>
    <row r="68" spans="1:35" ht="14.25" customHeight="1" thickBot="1">
      <c r="A68" s="176" t="s">
        <v>329</v>
      </c>
      <c r="B68" s="177" t="s">
        <v>1391</v>
      </c>
      <c r="C68" s="2569">
        <f ca="1">IF(C67&lt;=0,0,ROUND(C67*D68,0))</f>
        <v>36</v>
      </c>
      <c r="D68" s="2570">
        <f>'数据-取费表'!B41</f>
        <v>5.5000000000000007E-2</v>
      </c>
      <c r="E68" s="178"/>
      <c r="F68" s="1808"/>
      <c r="G68" s="1808"/>
      <c r="H68" s="1810"/>
      <c r="I68" s="129"/>
      <c r="J68" s="3555"/>
      <c r="K68" s="1332" t="s">
        <v>1392</v>
      </c>
      <c r="L68" s="1332">
        <f ca="1">IF(M49&gt;10000,M49*0.5%,IF(AND(M49&gt;5000,M49&lt;=10000),M49*1%,IF(AND(M49&gt;1000,M49&lt;=5000),M49*2%,IF(AND(M49&gt;200,M49&lt;=1000),M49*3%,M49*5%))))</f>
        <v>20.849999999999998</v>
      </c>
      <c r="M68" s="302">
        <f ca="1">ROUND(L68,1)</f>
        <v>20.9</v>
      </c>
      <c r="N68" s="2543"/>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53</v>
      </c>
      <c r="N69" s="2545">
        <f ca="1">M69/M49</f>
        <v>7.6258992805755391E-2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219.66666666666666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394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7" t="s">
        <v>2129</v>
      </c>
      <c r="H90" s="3558"/>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8" t="s">
        <v>1422</v>
      </c>
      <c r="F92" s="3589"/>
      <c r="G92" s="3589"/>
      <c r="H92" s="3590"/>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659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219.66666666666666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394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5" t="str">
        <f>C4</f>
        <v>成本法 (元)</v>
      </c>
      <c r="D101" s="2586" t="str">
        <f>D4</f>
        <v>收益法 (元)</v>
      </c>
      <c r="E101" s="3551" t="s">
        <v>1431</v>
      </c>
      <c r="F101" s="3552"/>
      <c r="G101" s="1827" t="s">
        <v>1432</v>
      </c>
      <c r="H101" s="2595">
        <f ca="1">H118</f>
        <v>695</v>
      </c>
      <c r="I101" s="129"/>
    </row>
    <row r="102" spans="1:35" ht="18.75" customHeight="1">
      <c r="A102" s="3583" t="s">
        <v>1433</v>
      </c>
      <c r="B102" s="2584" t="s">
        <v>1432</v>
      </c>
      <c r="C102" s="2585">
        <f ca="1">IF(D32="楼面单价",ROUND(C19,0),C19)</f>
        <v>873.53060000000005</v>
      </c>
      <c r="D102" s="2586">
        <f ca="1">IF(D32="楼面单价",ROUND(D19,0),D19)</f>
        <v>576.67079999999999</v>
      </c>
      <c r="E102" s="3551"/>
      <c r="F102" s="3552"/>
      <c r="G102" s="1827" t="s">
        <v>1434</v>
      </c>
      <c r="H102" s="2555">
        <f ca="1">I118</f>
        <v>6016</v>
      </c>
      <c r="I102" s="129"/>
    </row>
    <row r="103" spans="1:35" ht="42.75" customHeight="1">
      <c r="A103" s="3583"/>
      <c r="B103" s="2584" t="s">
        <v>1434</v>
      </c>
      <c r="C103" s="2587">
        <f ca="1">C20</f>
        <v>7561</v>
      </c>
      <c r="D103" s="2588">
        <f ca="1">D20</f>
        <v>4992</v>
      </c>
      <c r="E103" s="3544" t="s">
        <v>1435</v>
      </c>
      <c r="F103" s="3545"/>
      <c r="G103" s="1828" t="s">
        <v>1436</v>
      </c>
      <c r="H103" s="2595">
        <f>IF(D36="正常操作",H104+H105+H106,H105+H106)</f>
        <v>0</v>
      </c>
      <c r="I103" s="129"/>
    </row>
    <row r="104" spans="1:35" ht="18.75" customHeight="1">
      <c r="A104" s="3583" t="s">
        <v>1437</v>
      </c>
      <c r="B104" s="2589" t="s">
        <v>1432</v>
      </c>
      <c r="C104" s="2590">
        <f ca="1">H118</f>
        <v>695</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6016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52"/>
      <c r="G107" s="1827" t="s">
        <v>1432</v>
      </c>
      <c r="H107" s="2595">
        <f ca="1">IF(E107="——","——",H101-H103)</f>
        <v>695</v>
      </c>
      <c r="I107" s="129"/>
    </row>
    <row r="108" spans="1:35" ht="18.75" customHeight="1">
      <c r="A108" s="129"/>
      <c r="B108" s="129"/>
      <c r="C108" s="129"/>
      <c r="D108" s="129"/>
      <c r="E108" s="3584"/>
      <c r="F108" s="3552"/>
      <c r="G108" s="1827" t="s">
        <v>1434</v>
      </c>
      <c r="H108" s="2555">
        <f ca="1">IF(H107=H101,H102,ROUND(H107*10000/'数据-汇总表'!E3,0))</f>
        <v>6016</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8" t="str">
        <f>IF(E109="——","——",H101-H105-H106)</f>
        <v>——</v>
      </c>
      <c r="I109" s="129"/>
    </row>
    <row r="110" spans="1:35" ht="18.75" customHeight="1">
      <c r="A110" s="129"/>
      <c r="B110" s="129"/>
      <c r="C110" s="129"/>
      <c r="D110" s="129"/>
      <c r="E110" s="3584"/>
      <c r="F110" s="3552"/>
      <c r="G110" s="1827" t="s">
        <v>1434</v>
      </c>
      <c r="H110" s="2555"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5" t="str">
        <f>IF(E111="——","——",N59)</f>
        <v>——</v>
      </c>
      <c r="I111" s="129"/>
    </row>
    <row r="112" spans="1:35" ht="18.75" customHeight="1" thickBot="1">
      <c r="A112" s="129"/>
      <c r="B112" s="129"/>
      <c r="C112" s="129"/>
      <c r="D112" s="129"/>
      <c r="E112" s="3586"/>
      <c r="F112" s="3587"/>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1155.3</v>
      </c>
      <c r="C118" s="2329">
        <f>M19</f>
        <v>6667.9</v>
      </c>
      <c r="D118" s="2329">
        <f ca="1">ROUND(IF(D32="总价",C34,E118*B118/10000),0)</f>
        <v>457</v>
      </c>
      <c r="E118" s="2329">
        <f ca="1">ROUND(IF(C33="自定义",IF(D32="楼面单价",C34,D118*10000/B118),I118-G118),0)</f>
        <v>3956</v>
      </c>
      <c r="F118" s="2329">
        <f ca="1">ROUND(IF(D32="总价",C35,G118*B118/10000),0)</f>
        <v>238</v>
      </c>
      <c r="G118" s="2329">
        <f ca="1">ROUND(IF(D32="楼面单价",C35,F118*10000/B118),0)</f>
        <v>2060</v>
      </c>
      <c r="H118" s="2329">
        <f ca="1">ROUND(IF(D32="总价",C32,I118*B118/10000),0)</f>
        <v>695</v>
      </c>
      <c r="I118" s="2329">
        <f ca="1">ROUND(IF(D32="楼面单价",C32,H118*10000/B118),0)</f>
        <v>6016</v>
      </c>
    </row>
    <row r="119" spans="1:27" ht="18.75" customHeight="1">
      <c r="A119" s="3559" t="s">
        <v>1452</v>
      </c>
      <c r="B119" s="3559"/>
      <c r="C119" s="3559"/>
      <c r="D119" s="3565" t="str">
        <f ca="1">NUMBERSTRING(INT(D118*10000),2)&amp;"元整"</f>
        <v>肆佰伍拾柒万元整</v>
      </c>
      <c r="E119" s="3566"/>
      <c r="F119" s="3565" t="str">
        <f ca="1">NUMBERSTRING(INT(F118*10000),2)&amp;"元整"</f>
        <v>贰佰叁拾捌万元整</v>
      </c>
      <c r="G119" s="3566"/>
      <c r="H119" s="3565" t="str">
        <f ca="1">NUMBERSTRING(INT(H118*10000),2)&amp;"元整"</f>
        <v>陆佰玖拾伍万元整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695</v>
      </c>
      <c r="E122" s="3561"/>
      <c r="F122" s="3561"/>
      <c r="G122" s="3561"/>
      <c r="H122" s="3561"/>
      <c r="I122" s="3562"/>
      <c r="AA122" s="725"/>
    </row>
    <row r="123" spans="1:27" ht="18.75" customHeight="1">
      <c r="A123" s="3559" t="s">
        <v>1452</v>
      </c>
      <c r="B123" s="3559"/>
      <c r="C123" s="3559"/>
      <c r="D123" s="3565" t="str">
        <f ca="1">NUMBERSTRING(INT(D122*10000),2)&amp;"元整"</f>
        <v>陆佰玖拾伍万元整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4" sqref="J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7556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595.10285999999996</v>
      </c>
      <c r="D5" s="211" t="s">
        <v>1469</v>
      </c>
      <c r="E5" s="212" t="s">
        <v>1470</v>
      </c>
      <c r="F5" s="212" t="s">
        <v>1471</v>
      </c>
      <c r="G5" s="213"/>
    </row>
    <row r="6" spans="1:9" s="214" customFormat="1" ht="13.5" customHeight="1">
      <c r="A6" s="778" t="s">
        <v>1472</v>
      </c>
      <c r="B6" s="215" t="s">
        <v>1473</v>
      </c>
      <c r="C6" s="216">
        <f>基准地价修正!C33*基准地价修正!D33/10000</f>
        <v>556.10285999999996</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v>
      </c>
      <c r="D8" s="222"/>
      <c r="E8" s="220"/>
      <c r="F8" s="221"/>
      <c r="G8" s="1856" t="s">
        <v>3382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3383</v>
      </c>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1155.3</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1155.3</v>
      </c>
      <c r="E19" s="211">
        <f>'数据-取费表'!B31</f>
        <v>200</v>
      </c>
      <c r="F19" s="231"/>
      <c r="G19" s="1856" t="s">
        <v>3384</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30</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30</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173</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v>
      </c>
      <c r="D37" s="217">
        <f ca="1">D19</f>
        <v>1155.3</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2.9999999999999997E-4</v>
      </c>
      <c r="D44" s="238"/>
      <c r="E44" s="238"/>
      <c r="F44" s="239"/>
      <c r="G44" s="3640"/>
    </row>
    <row r="45" spans="1:7" s="214" customFormat="1" ht="13.5" customHeight="1">
      <c r="A45" s="255" t="s">
        <v>1547</v>
      </c>
      <c r="B45" s="244" t="s">
        <v>1513</v>
      </c>
      <c r="C45" s="245">
        <f ca="1">C46</f>
        <v>10</v>
      </c>
      <c r="D45" s="235">
        <f ca="1">C47</f>
        <v>1E-3</v>
      </c>
      <c r="E45" s="236" t="s">
        <v>1539</v>
      </c>
      <c r="F45" s="246">
        <f ca="1">F27</f>
        <v>0.05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240</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163</v>
      </c>
      <c r="D51" s="232"/>
      <c r="E51" s="232"/>
      <c r="F51" s="264"/>
      <c r="G51" s="234" t="s">
        <v>1560</v>
      </c>
    </row>
    <row r="52" spans="1:7" s="208" customFormat="1" ht="16.5" thickBot="1">
      <c r="A52" s="265" t="s">
        <v>1561</v>
      </c>
      <c r="B52" s="266"/>
      <c r="C52" s="267">
        <f ca="1">C31+C51</f>
        <v>873</v>
      </c>
      <c r="D52" s="266"/>
      <c r="E52" s="266"/>
      <c r="F52" s="266"/>
      <c r="G52" s="268"/>
    </row>
    <row r="55" spans="1:7" ht="15">
      <c r="B55" s="270" t="s">
        <v>1562</v>
      </c>
      <c r="C55" s="271"/>
    </row>
    <row r="56" spans="1:7">
      <c r="B56" s="273" t="s">
        <v>802</v>
      </c>
      <c r="C56" s="275">
        <f ca="1">1-C57</f>
        <v>0.81299999999999994</v>
      </c>
    </row>
    <row r="57" spans="1:7">
      <c r="B57" s="273" t="s">
        <v>803</v>
      </c>
      <c r="C57" s="274">
        <f ca="1">ROUND(C51/C52,3)</f>
        <v>0.187</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873.53060000000005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7561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5950146.5999999996</v>
      </c>
      <c r="D5" s="211" t="s">
        <v>1469</v>
      </c>
      <c r="E5" s="212" t="s">
        <v>1470</v>
      </c>
      <c r="F5" s="212" t="s">
        <v>1471</v>
      </c>
      <c r="G5" s="213"/>
    </row>
    <row r="6" spans="1:8" s="214" customFormat="1" ht="13.5" customHeight="1">
      <c r="A6" s="778" t="s">
        <v>1472</v>
      </c>
      <c r="B6" s="215" t="s">
        <v>1473</v>
      </c>
      <c r="C6" s="216">
        <f>基准地价修正!C33*基准地价修正!D33</f>
        <v>5561028.5999999996</v>
      </c>
      <c r="D6" s="217"/>
      <c r="E6" s="218"/>
      <c r="F6" s="218"/>
      <c r="G6" s="219"/>
    </row>
    <row r="7" spans="1:8" s="214" customFormat="1" ht="13.5" customHeight="1">
      <c r="A7" s="778" t="s">
        <v>1474</v>
      </c>
      <c r="B7" s="215" t="s">
        <v>1475</v>
      </c>
      <c r="C7" s="220">
        <f>ROUND(C6*F7,0)</f>
        <v>169611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219507</v>
      </c>
      <c r="D8" s="222"/>
      <c r="E8" s="220"/>
      <c r="F8" s="221"/>
      <c r="G8" s="1856" t="s">
        <v>3382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219507</v>
      </c>
      <c r="D10" s="845">
        <f ca="1">IF(B1="",'数据-汇总表'!E6,IF(INDIRECT("'数据-取费表'!c"&amp;$G$1)="住宅",INDIRECT("'数据-取费表'!s"&amp;$G$1),INDIRECT("'数据-取费表'!k"&amp;$G$1)+INDIRECT("'数据-取费表'!s"&amp;$G$1)))</f>
        <v>1155.3</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1155.3</v>
      </c>
      <c r="E19" s="211">
        <f>'数据-取费表'!B31</f>
        <v>200</v>
      </c>
      <c r="F19" s="231"/>
      <c r="G19" s="1856" t="s">
        <v>3384</v>
      </c>
    </row>
    <row r="20" spans="1:7" s="214" customFormat="1" ht="13.5" customHeight="1">
      <c r="A20" s="255" t="s">
        <v>1574</v>
      </c>
      <c r="B20" s="210" t="s">
        <v>1575</v>
      </c>
      <c r="C20" s="232">
        <f ca="1">ROUND((C5+C19)*F20,0)</f>
        <v>119003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207333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205280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2053</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303457</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303457</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7103465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2041993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1732950</v>
      </c>
      <c r="D34" s="217"/>
      <c r="E34" s="220"/>
      <c r="F34" s="257"/>
      <c r="G34" s="219"/>
    </row>
    <row r="35" spans="1:7" ht="13.5" customHeight="1">
      <c r="A35" s="780" t="s">
        <v>351</v>
      </c>
      <c r="B35" s="215" t="s">
        <v>1527</v>
      </c>
      <c r="C35" s="220">
        <f ca="1">ROUND(C34*F35,0)</f>
        <v>51989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231060</v>
      </c>
      <c r="D37" s="217">
        <f ca="1">D19</f>
        <v>1155.3</v>
      </c>
      <c r="E37" s="249">
        <f>'数据-取费表'!B35</f>
        <v>200</v>
      </c>
      <c r="F37" s="259"/>
      <c r="G37" s="261"/>
    </row>
    <row r="38" spans="1:7" ht="13.5" customHeight="1">
      <c r="A38" s="780" t="s">
        <v>354</v>
      </c>
      <c r="B38" s="215" t="s">
        <v>1533</v>
      </c>
      <c r="C38" s="220">
        <f ca="1">ROUND(C34*F38,0)</f>
        <v>25994</v>
      </c>
      <c r="D38" s="220"/>
      <c r="E38" s="220"/>
      <c r="F38" s="259">
        <f>'数据-取费表'!B36</f>
        <v>1.4999999999999999E-2</v>
      </c>
      <c r="G38" s="219" t="s">
        <v>1528</v>
      </c>
    </row>
    <row r="39" spans="1:7" s="214" customFormat="1" ht="13.5" customHeight="1">
      <c r="A39" s="255" t="s">
        <v>1534</v>
      </c>
      <c r="B39" s="210" t="s">
        <v>1535</v>
      </c>
      <c r="C39" s="232">
        <f ca="1">ROUND(C33*F20,0)</f>
        <v>40840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35928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35224</v>
      </c>
      <c r="D42" s="238"/>
      <c r="E42" s="238"/>
      <c r="F42" s="239"/>
      <c r="G42" s="3638" t="s">
        <v>1591</v>
      </c>
    </row>
    <row r="43" spans="1:7" ht="13.5" customHeight="1">
      <c r="A43" s="780" t="s">
        <v>347</v>
      </c>
      <c r="B43" s="215" t="s">
        <v>1545</v>
      </c>
      <c r="C43" s="238">
        <f ca="1">ROUND(IF('数据-取费表'!B22&lt;=1,C39*F22*'数据-取费表'!B20/2,C39*(POWER((1+F22),'数据-取费表'!B20/2)-1)),0)</f>
        <v>704</v>
      </c>
      <c r="D43" s="238"/>
      <c r="E43" s="238"/>
      <c r="F43" s="239"/>
      <c r="G43" s="3639"/>
    </row>
    <row r="44" spans="1:7" ht="13.5" customHeight="1">
      <c r="A44" s="780" t="s">
        <v>348</v>
      </c>
      <c r="B44" s="215" t="s">
        <v>1546</v>
      </c>
      <c r="C44" s="238">
        <f ca="1">ROUND(IF('数据-取费表'!B22&lt;=1,C40*F22*'数据-取费表'!B20/2,C40*(POWER((1+F22),'数据-取费表'!B20/2)-1)),4)</f>
        <v>2.9999999999999997E-4</v>
      </c>
      <c r="D44" s="238"/>
      <c r="E44" s="238"/>
      <c r="F44" s="239"/>
      <c r="G44" s="3640"/>
    </row>
    <row r="45" spans="1:7" s="214" customFormat="1" ht="13.5" customHeight="1">
      <c r="A45" s="255" t="s">
        <v>1547</v>
      </c>
      <c r="B45" s="244" t="s">
        <v>1513</v>
      </c>
      <c r="C45" s="245">
        <f ca="1">C46</f>
        <v>104142</v>
      </c>
      <c r="D45" s="235">
        <f ca="1">C47</f>
        <v>1E-3</v>
      </c>
      <c r="E45" s="236" t="s">
        <v>1539</v>
      </c>
      <c r="F45" s="246">
        <f ca="1">F27</f>
        <v>0.05</v>
      </c>
      <c r="G45" s="247" t="s">
        <v>1548</v>
      </c>
    </row>
    <row r="46" spans="1:7" s="214" customFormat="1" ht="13.5" customHeight="1">
      <c r="A46" s="780" t="s">
        <v>346</v>
      </c>
      <c r="B46" s="248" t="s">
        <v>1549</v>
      </c>
      <c r="C46" s="249">
        <f ca="1">ROUND((C33+C39)*F27,0)</f>
        <v>104142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2399766</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1631841</v>
      </c>
      <c r="D51" s="232"/>
      <c r="E51" s="232"/>
      <c r="F51" s="264"/>
      <c r="G51" s="234" t="s">
        <v>1560</v>
      </c>
    </row>
    <row r="52" spans="1:7" s="208" customFormat="1" ht="16.5" thickBot="1">
      <c r="A52" s="265" t="s">
        <v>1561</v>
      </c>
      <c r="B52" s="266"/>
      <c r="C52" s="267">
        <f ca="1">C31+C51</f>
        <v>8735306</v>
      </c>
      <c r="D52" s="266"/>
      <c r="E52" s="266"/>
      <c r="F52" s="266"/>
      <c r="G52" s="268"/>
    </row>
    <row r="55" spans="1:7" ht="15">
      <c r="B55" s="270" t="s">
        <v>1562</v>
      </c>
      <c r="C55" s="271"/>
    </row>
    <row r="56" spans="1:7">
      <c r="B56" s="273" t="s">
        <v>802</v>
      </c>
      <c r="C56" s="275">
        <f ca="1">1-C57</f>
        <v>0.81299999999999994</v>
      </c>
    </row>
    <row r="57" spans="1:7">
      <c r="B57" s="273" t="s">
        <v>803</v>
      </c>
      <c r="C57" s="274">
        <f ca="1">ROUND(C51/C52,3)</f>
        <v>0.187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1155.3</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1: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576.67079999999999</v>
      </c>
      <c r="C2" s="1387" t="s">
        <v>879</v>
      </c>
      <c r="D2" s="1471">
        <f ca="1">C40+J29+L46</f>
        <v>5766708</v>
      </c>
      <c r="E2" s="1388" t="s">
        <v>880</v>
      </c>
      <c r="F2" s="1389"/>
      <c r="G2" s="2706"/>
      <c r="H2" s="2695"/>
      <c r="I2" s="2695"/>
      <c r="J2" s="2695"/>
      <c r="K2" s="2696"/>
      <c r="L2" s="2695"/>
      <c r="M2" s="2695"/>
    </row>
    <row r="3" spans="1:37" ht="18" customHeight="1" thickBot="1">
      <c r="A3" s="1390" t="s">
        <v>881</v>
      </c>
      <c r="B3" s="1391">
        <f ca="1">IF(ISERROR(D2/F43),0,ROUND(D2/F43,0))</f>
        <v>4992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430656</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430118</v>
      </c>
      <c r="D6" s="155" t="s">
        <v>2106</v>
      </c>
      <c r="E6" s="302" t="s">
        <v>696</v>
      </c>
      <c r="F6" s="303">
        <f ca="1">INDIRECT("'数据-取费表'!u"&amp;$G$1)</f>
        <v>1.2</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1155.3</v>
      </c>
      <c r="G7" s="1384"/>
      <c r="H7" s="304"/>
      <c r="I7" s="3642"/>
      <c r="J7" s="306"/>
      <c r="K7" s="307"/>
      <c r="L7" s="302" t="s">
        <v>697</v>
      </c>
      <c r="M7" s="303">
        <f ca="1">F7</f>
        <v>1155.3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538</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1631841</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1732950</v>
      </c>
      <c r="D14" s="1345" t="s">
        <v>708</v>
      </c>
      <c r="E14" s="1342"/>
      <c r="F14" s="319"/>
      <c r="G14" s="1384"/>
      <c r="H14" s="982" t="s">
        <v>398</v>
      </c>
      <c r="I14" s="302" t="s">
        <v>709</v>
      </c>
      <c r="J14" s="21">
        <f ca="1">C29</f>
        <v>2399766</v>
      </c>
      <c r="K14" s="12"/>
      <c r="L14" s="807"/>
      <c r="M14" s="808"/>
    </row>
    <row r="15" spans="1:37" s="1397" customFormat="1" ht="18" customHeight="1" thickBot="1">
      <c r="A15" s="982" t="s">
        <v>399</v>
      </c>
      <c r="B15" s="302" t="s">
        <v>710</v>
      </c>
      <c r="C15" s="21">
        <f ca="1">ROUND(C14*F15,0)</f>
        <v>51989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22001</v>
      </c>
      <c r="K16" s="1087" t="s">
        <v>715</v>
      </c>
      <c r="L16" s="1088"/>
      <c r="M16" s="1072"/>
    </row>
    <row r="17" spans="1:37" s="1397" customFormat="1" ht="18" customHeight="1">
      <c r="A17" s="982" t="s">
        <v>681</v>
      </c>
      <c r="B17" s="302" t="s">
        <v>716</v>
      </c>
      <c r="C17" s="21">
        <f ca="1">ROUND(F17*(F43+INDIRECT("'数据-取费表'!S"&amp;$G$1)),0)</f>
        <v>231060</v>
      </c>
      <c r="D17" s="302" t="s">
        <v>717</v>
      </c>
      <c r="E17" s="302" t="s">
        <v>718</v>
      </c>
      <c r="F17" s="23">
        <f>'数据-取费表'!B35</f>
        <v>200</v>
      </c>
      <c r="G17" s="1396"/>
      <c r="H17" s="982" t="s">
        <v>398</v>
      </c>
      <c r="I17" s="302" t="s">
        <v>719</v>
      </c>
      <c r="J17" s="2316">
        <f ca="1">ROUND(IF(AND(项目基本情况!B11="自然人",项目基本情况!B10="北京市"),J6*M17/(1+'数据-取费表'!C42),J18+J19+J20),0)</f>
        <v>10002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25994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2041993</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40840</v>
      </c>
      <c r="D20" s="323" t="s">
        <v>729</v>
      </c>
      <c r="E20" s="302" t="s">
        <v>712</v>
      </c>
      <c r="F20" s="322">
        <f>'数据-取费表'!B37</f>
        <v>0.02</v>
      </c>
      <c r="G20" s="1396"/>
      <c r="H20" s="982" t="s">
        <v>680</v>
      </c>
      <c r="I20" s="155" t="s">
        <v>730</v>
      </c>
      <c r="J20" s="22">
        <f ca="1">ROUND(M20*M21,0)</f>
        <v>10002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11999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35928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-22001</v>
      </c>
      <c r="K25" s="1095" t="s">
        <v>753</v>
      </c>
      <c r="L25" s="1096"/>
      <c r="M25" s="1097"/>
    </row>
    <row r="26" spans="1:37" ht="18" customHeight="1">
      <c r="A26" s="982" t="s">
        <v>397</v>
      </c>
      <c r="B26" s="302" t="s">
        <v>754</v>
      </c>
      <c r="C26" s="21">
        <f ca="1">ROUND((C19+C20)*F26,0)</f>
        <v>104142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2399766</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97472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81688</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22530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49156</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10002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ROUND(C29*F36,0)</f>
        <v>11999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1632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2153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333184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5766708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4992</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f ca="1">ROUND((C68-C40)/10000,4)</f>
        <v>-609.83100000000002</v>
      </c>
      <c r="D45" s="3432" t="s">
        <v>3350</v>
      </c>
      <c r="E45" s="1400"/>
      <c r="F45" s="1400"/>
      <c r="O45" s="1403" t="s">
        <v>808</v>
      </c>
      <c r="P45" s="1461"/>
      <c r="Q45" s="1461"/>
      <c r="R45" s="1461"/>
    </row>
    <row r="46" spans="1:18" s="1384" customFormat="1" ht="13.5" thickBot="1">
      <c r="A46" s="1404" t="s">
        <v>809</v>
      </c>
      <c r="C46" s="1405">
        <f ca="1">ROUND(C45,0)</f>
        <v>-610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50</v>
      </c>
      <c r="M47" s="1380" t="str">
        <f>IF(ISNUMBER(FIND("住宅",C1)),"住宅","非住宅")</f>
        <v>非住宅</v>
      </c>
      <c r="O47" s="1418" t="s">
        <v>403</v>
      </c>
      <c r="P47" s="1419" t="s">
        <v>817</v>
      </c>
      <c r="Q47" s="1420">
        <f ca="1">C40+J29</f>
        <v>5766708</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27.59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2399766</v>
      </c>
      <c r="R49" s="1420" t="s">
        <v>818</v>
      </c>
    </row>
    <row r="50" spans="1:18" s="1384" customFormat="1" ht="13.5" thickBot="1">
      <c r="A50" s="976"/>
      <c r="B50" s="979"/>
      <c r="C50" s="980"/>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3414126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27.59</v>
      </c>
      <c r="K53" s="3644" t="s">
        <v>837</v>
      </c>
      <c r="L53" s="3645"/>
      <c r="O53" s="1418" t="s">
        <v>409</v>
      </c>
      <c r="P53" s="1419" t="s">
        <v>838</v>
      </c>
      <c r="Q53" s="1420">
        <f ca="1">Q47+Q48</f>
        <v>5766708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1631841</v>
      </c>
      <c r="D56" s="1447"/>
      <c r="E56" s="1448"/>
      <c r="F56" s="1440"/>
      <c r="I56" s="1449" t="s">
        <v>842</v>
      </c>
      <c r="J56" s="1450" t="s">
        <v>3371</v>
      </c>
      <c r="K56" s="1421" t="s">
        <v>843</v>
      </c>
      <c r="L56" s="1424" t="str">
        <f ca="1">IF(L48&lt;J51,"——",L48-J51)</f>
        <v>——</v>
      </c>
      <c r="O56" s="1418" t="s">
        <v>403</v>
      </c>
      <c r="P56" s="1419" t="s">
        <v>817</v>
      </c>
      <c r="Q56" s="1420">
        <f ca="1">C40+J29</f>
        <v>5766708</v>
      </c>
      <c r="R56" s="1420" t="s">
        <v>818</v>
      </c>
    </row>
    <row r="57" spans="1:18" s="1384" customFormat="1" ht="24.75" thickBot="1">
      <c r="A57" s="1451"/>
      <c r="B57" s="950" t="s">
        <v>767</v>
      </c>
      <c r="C57" s="238">
        <f ca="1">C29</f>
        <v>2399766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23633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10002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10002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5766708</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11999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1632</v>
      </c>
      <c r="D65" s="964" t="s">
        <v>743</v>
      </c>
      <c r="E65" s="950" t="s">
        <v>744</v>
      </c>
      <c r="F65" s="330">
        <f t="shared" ca="1" si="0"/>
        <v>1E-3</v>
      </c>
      <c r="I65" s="1462" t="s">
        <v>867</v>
      </c>
      <c r="J65" s="1463">
        <v>40</v>
      </c>
      <c r="K65" s="1463">
        <v>30</v>
      </c>
      <c r="L65" s="1463">
        <v>50</v>
      </c>
      <c r="M65" s="1465">
        <v>0.02</v>
      </c>
      <c r="O65" s="1418" t="s">
        <v>403</v>
      </c>
      <c r="P65" s="1419" t="s">
        <v>868</v>
      </c>
      <c r="Q65" s="1420">
        <f ca="1">C40+J29</f>
        <v>5766708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-23633</v>
      </c>
      <c r="D67" s="963" t="s">
        <v>753</v>
      </c>
      <c r="E67" s="968"/>
      <c r="F67" s="969"/>
      <c r="O67" s="1428" t="s">
        <v>405</v>
      </c>
      <c r="P67" s="1419" t="s">
        <v>850</v>
      </c>
      <c r="Q67" s="1466">
        <f ca="1">L51</f>
        <v>3414126</v>
      </c>
      <c r="R67" s="1420" t="s">
        <v>870</v>
      </c>
    </row>
    <row r="68" spans="1:18" s="1384" customFormat="1" ht="16.5" thickBot="1">
      <c r="A68" s="947" t="s">
        <v>395</v>
      </c>
      <c r="B68" s="948" t="s">
        <v>774</v>
      </c>
      <c r="C68" s="301">
        <f ca="1">ROUND(C67*(1-((1+F70)/(1+F68))^F69)/(F68-F70),0)</f>
        <v>-331602</v>
      </c>
      <c r="D68" s="965" t="s">
        <v>758</v>
      </c>
      <c r="E68" s="950" t="s">
        <v>759</v>
      </c>
      <c r="F68" s="312">
        <f ca="1">F40</f>
        <v>5.5E-2</v>
      </c>
      <c r="O68" s="1428" t="s">
        <v>406</v>
      </c>
      <c r="P68" s="1467" t="s">
        <v>871</v>
      </c>
      <c r="Q68" s="1420">
        <f ca="1">ROUND(Q69-Q70*Q71,0)</f>
        <v>218955</v>
      </c>
      <c r="R68" s="1420" t="s">
        <v>414</v>
      </c>
    </row>
    <row r="69" spans="1:18" s="1384" customFormat="1" ht="13.5" thickBot="1">
      <c r="A69" s="951"/>
      <c r="B69" s="952"/>
      <c r="C69" s="306"/>
      <c r="D69" s="970" t="s">
        <v>762</v>
      </c>
      <c r="E69" s="950" t="s">
        <v>763</v>
      </c>
      <c r="F69" s="333">
        <f ca="1">F41</f>
        <v>27.59</v>
      </c>
      <c r="O69" s="1428" t="s">
        <v>411</v>
      </c>
      <c r="P69" s="1467" t="s">
        <v>872</v>
      </c>
      <c r="Q69" s="1420">
        <f ca="1">C39</f>
        <v>333184</v>
      </c>
      <c r="R69" s="1420" t="s">
        <v>818</v>
      </c>
    </row>
    <row r="70" spans="1:18" s="1384" customFormat="1" ht="13.5" thickBot="1">
      <c r="A70" s="954"/>
      <c r="B70" s="955"/>
      <c r="C70" s="310"/>
      <c r="D70" s="966"/>
      <c r="E70" s="950" t="s">
        <v>766</v>
      </c>
      <c r="F70" s="1054"/>
      <c r="O70" s="1428" t="s">
        <v>412</v>
      </c>
      <c r="P70" s="1467" t="s">
        <v>873</v>
      </c>
      <c r="Q70" s="1420">
        <f ca="1">C13</f>
        <v>1631841</v>
      </c>
      <c r="R70" s="1420" t="s">
        <v>818</v>
      </c>
    </row>
    <row r="71" spans="1:18" s="1384" customFormat="1" ht="13.5" thickBot="1">
      <c r="A71" s="971" t="s">
        <v>396</v>
      </c>
      <c r="B71" s="972" t="s">
        <v>776</v>
      </c>
      <c r="C71" s="336">
        <f ca="1">ROUND(C68/F71,0)</f>
        <v>-287</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114229</v>
      </c>
      <c r="D75" s="1384"/>
      <c r="E75" s="1384"/>
      <c r="F75" s="1384"/>
      <c r="K75" s="1402"/>
      <c r="L75" s="1384"/>
      <c r="O75" s="1418" t="s">
        <v>409</v>
      </c>
      <c r="P75" s="1419" t="s">
        <v>838</v>
      </c>
      <c r="Q75" s="1420">
        <f ca="1">Q65+Q66</f>
        <v>5766708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0.65700000000000003</v>
      </c>
    </row>
    <row r="80" spans="1:18">
      <c r="B80" s="340" t="s">
        <v>800</v>
      </c>
      <c r="C80" s="274">
        <f ca="1">ROUND(C75/C39,3)</f>
        <v>0.34300000000000003</v>
      </c>
    </row>
    <row r="81" spans="2:3">
      <c r="B81" s="270" t="s">
        <v>801</v>
      </c>
      <c r="C81" s="238"/>
    </row>
    <row r="82" spans="2:3">
      <c r="B82" s="273" t="s">
        <v>802</v>
      </c>
      <c r="C82" s="275">
        <f ca="1">1-C83</f>
        <v>0.71700000000000008</v>
      </c>
    </row>
    <row r="83" spans="2:3">
      <c r="B83" s="273" t="s">
        <v>803</v>
      </c>
      <c r="C83" s="274">
        <f ca="1">ROUND(C13/C40,3)</f>
        <v>0.28299999999999997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3356</v>
      </c>
      <c r="E2" s="3444"/>
      <c r="F2" s="2846"/>
      <c r="G2" s="2847"/>
      <c r="H2" s="2848"/>
      <c r="I2" s="2849"/>
      <c r="J2" s="3646" t="s">
        <v>2312</v>
      </c>
      <c r="K2" s="3647"/>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648" t="s">
        <v>2322</v>
      </c>
      <c r="K3" s="3649"/>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648" t="s">
        <v>2324</v>
      </c>
      <c r="K4" s="3649"/>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650" t="s">
        <v>2328</v>
      </c>
      <c r="B6" s="3651"/>
      <c r="C6" s="3652"/>
      <c r="D6" s="2870"/>
      <c r="E6" s="2871"/>
      <c r="F6" s="2872"/>
      <c r="G6" s="2873"/>
      <c r="H6" s="2848"/>
      <c r="I6" s="2849"/>
      <c r="J6" s="3653">
        <v>1</v>
      </c>
      <c r="K6" s="3654"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653"/>
      <c r="K7" s="3655"/>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657" t="s">
        <v>2342</v>
      </c>
      <c r="C8" s="3658"/>
      <c r="D8" s="2889" t="s">
        <v>2343</v>
      </c>
      <c r="E8" s="2890" t="s">
        <v>2344</v>
      </c>
      <c r="F8" s="2891" t="s">
        <v>2345</v>
      </c>
      <c r="G8" s="2892"/>
      <c r="H8" s="2848"/>
      <c r="I8" s="2849"/>
      <c r="J8" s="3653"/>
      <c r="K8" s="3655"/>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657" t="s">
        <v>2348</v>
      </c>
      <c r="C9" s="3658"/>
      <c r="D9" s="2889">
        <f>ROUND(D6*E9,0)</f>
        <v>0</v>
      </c>
      <c r="E9" s="2893"/>
      <c r="F9" s="2894" t="s">
        <v>2349</v>
      </c>
      <c r="G9" s="2873"/>
      <c r="H9" s="2848"/>
      <c r="I9" s="2849"/>
      <c r="J9" s="3653"/>
      <c r="K9" s="3655"/>
      <c r="L9" s="2883" t="s">
        <v>2350</v>
      </c>
      <c r="M9" s="2884"/>
      <c r="N9" s="2860"/>
      <c r="O9" s="2885"/>
      <c r="P9" s="2885"/>
      <c r="Q9" s="2886">
        <v>365</v>
      </c>
      <c r="R9" s="2887">
        <f t="shared" si="0"/>
        <v>0</v>
      </c>
      <c r="S9" s="2841"/>
      <c r="T9" s="2841"/>
      <c r="U9" s="2841"/>
      <c r="V9" s="2849"/>
    </row>
    <row r="10" spans="1:22" s="2853" customFormat="1" ht="13.15" customHeight="1">
      <c r="A10" s="2888">
        <v>2</v>
      </c>
      <c r="B10" s="3657" t="s">
        <v>2351</v>
      </c>
      <c r="C10" s="3658"/>
      <c r="D10" s="2889">
        <f>ROUND(D6*E10,0)</f>
        <v>0</v>
      </c>
      <c r="E10" s="2893"/>
      <c r="F10" s="2894" t="s">
        <v>2352</v>
      </c>
      <c r="G10" s="2873"/>
      <c r="H10" s="2848"/>
      <c r="I10" s="2849"/>
      <c r="J10" s="3653"/>
      <c r="K10" s="3655"/>
      <c r="L10" s="2883" t="s">
        <v>2353</v>
      </c>
      <c r="M10" s="2884"/>
      <c r="N10" s="2860"/>
      <c r="O10" s="2885"/>
      <c r="P10" s="2885"/>
      <c r="Q10" s="2886">
        <v>365</v>
      </c>
      <c r="R10" s="2887">
        <f t="shared" si="0"/>
        <v>0</v>
      </c>
      <c r="S10" s="2841"/>
      <c r="T10" s="2841"/>
      <c r="U10" s="2841"/>
      <c r="V10" s="2849"/>
    </row>
    <row r="11" spans="1:22" s="2853" customFormat="1" ht="13.15" customHeight="1">
      <c r="A11" s="2888">
        <v>3</v>
      </c>
      <c r="B11" s="3657" t="s">
        <v>2354</v>
      </c>
      <c r="C11" s="3658"/>
      <c r="D11" s="2889">
        <f>D12+D14+D15+D16</f>
        <v>0</v>
      </c>
      <c r="E11" s="2895" t="e">
        <f>D11/D6</f>
        <v>#DIV/0!</v>
      </c>
      <c r="F11" s="2891"/>
      <c r="G11" s="2892"/>
      <c r="H11" s="2848"/>
      <c r="I11" s="2849"/>
      <c r="J11" s="3653"/>
      <c r="K11" s="3655"/>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659" t="s">
        <v>2357</v>
      </c>
      <c r="C12" s="3660"/>
      <c r="D12" s="2897">
        <f>ROUND(D13*1.2%*(1-30%),0)</f>
        <v>0</v>
      </c>
      <c r="E12" s="2898">
        <v>1.2E-2</v>
      </c>
      <c r="F12" s="2891" t="s">
        <v>2358</v>
      </c>
      <c r="G12" s="2892"/>
      <c r="H12" s="2848"/>
      <c r="I12" s="2849"/>
      <c r="J12" s="3653"/>
      <c r="K12" s="3655"/>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653"/>
      <c r="K13" s="3655"/>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659" t="s">
        <v>2363</v>
      </c>
      <c r="C14" s="3660"/>
      <c r="D14" s="2897">
        <f>ROUND(E14*B5/10000,0)</f>
        <v>0</v>
      </c>
      <c r="E14" s="2886"/>
      <c r="F14" s="2891" t="s">
        <v>2364</v>
      </c>
      <c r="G14" s="2892"/>
      <c r="H14" s="2848"/>
      <c r="I14" s="2849"/>
      <c r="J14" s="3653"/>
      <c r="K14" s="3656"/>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659" t="s">
        <v>2367</v>
      </c>
      <c r="C15" s="3660"/>
      <c r="D15" s="2897">
        <f>ROUND(D6*E15,0)</f>
        <v>0</v>
      </c>
      <c r="E15" s="2898">
        <v>5.5E-2</v>
      </c>
      <c r="F15" s="2891" t="s">
        <v>2368</v>
      </c>
      <c r="G15" s="2873"/>
      <c r="H15" s="2848"/>
      <c r="I15" s="2849"/>
      <c r="J15" s="3653">
        <v>2</v>
      </c>
      <c r="K15" s="3654"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659" t="s">
        <v>2376</v>
      </c>
      <c r="C16" s="3660"/>
      <c r="D16" s="2908">
        <f>D6*E16</f>
        <v>0</v>
      </c>
      <c r="E16" s="2909"/>
      <c r="F16" s="2894" t="s">
        <v>2377</v>
      </c>
      <c r="G16" s="2873"/>
      <c r="H16" s="2848"/>
      <c r="I16" s="2849"/>
      <c r="J16" s="3653"/>
      <c r="K16" s="3655"/>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2379</v>
      </c>
      <c r="C17" s="3662"/>
      <c r="D17" s="2911">
        <f>ROUND(D6*E17,0)</f>
        <v>0</v>
      </c>
      <c r="E17" s="2912"/>
      <c r="F17" s="2913" t="s">
        <v>2380</v>
      </c>
      <c r="G17" s="2873"/>
      <c r="H17" s="2848"/>
      <c r="I17" s="2849"/>
      <c r="J17" s="3653"/>
      <c r="K17" s="3655"/>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653"/>
      <c r="K18" s="3655"/>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53"/>
      <c r="K19" s="3656"/>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3">
        <v>3</v>
      </c>
      <c r="K20" s="3654"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53"/>
      <c r="K21" s="3655"/>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53"/>
      <c r="K22" s="3655"/>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653"/>
      <c r="K23" s="3655"/>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53"/>
      <c r="K24" s="3656"/>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663">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646" t="s">
        <v>2312</v>
      </c>
      <c r="K32" s="3647"/>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648" t="s">
        <v>2322</v>
      </c>
      <c r="K33" s="3649"/>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648" t="s">
        <v>2324</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653">
        <v>1</v>
      </c>
      <c r="K36" s="3654"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653"/>
      <c r="K40" s="3656"/>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576.67079999999999</v>
      </c>
      <c r="C2" s="1872" t="s">
        <v>1651</v>
      </c>
      <c r="D2" s="1873" t="s">
        <v>1652</v>
      </c>
      <c r="E2" s="2607">
        <f>SUM(E6:E13)</f>
        <v>1155.3</v>
      </c>
      <c r="F2" s="2707"/>
      <c r="G2" s="1489"/>
      <c r="H2" s="1489"/>
      <c r="I2" s="1489"/>
      <c r="J2" s="1489"/>
      <c r="K2" s="1489"/>
      <c r="L2" s="1489"/>
      <c r="M2" s="1489"/>
      <c r="N2" s="1489"/>
      <c r="O2" s="1489"/>
      <c r="P2" s="1489"/>
      <c r="Q2" s="1489"/>
      <c r="R2" s="1489"/>
      <c r="S2" s="1489"/>
    </row>
    <row r="3" spans="1:22" ht="15.75">
      <c r="A3" s="1870" t="s">
        <v>686</v>
      </c>
      <c r="B3" s="2601">
        <f ca="1">ROUND(B2*10000/E2,0)</f>
        <v>4992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576.67079999999999</v>
      </c>
      <c r="C6" s="1872" t="s">
        <v>1651</v>
      </c>
      <c r="D6" s="2709"/>
      <c r="E6" s="2606">
        <f>IF(OR(A6=0,F6="否"),0,'数据-取费表'!K6+'数据-取费表'!S6)</f>
        <v>1155.3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72" t="s">
        <v>1668</v>
      </c>
      <c r="S4" s="3673"/>
      <c r="T4" s="3672" t="s">
        <v>1669</v>
      </c>
      <c r="U4" s="3673"/>
      <c r="V4" s="3697" t="s">
        <v>1670</v>
      </c>
      <c r="W4" s="3697"/>
      <c r="X4" s="1355"/>
      <c r="Y4" s="3672" t="s">
        <v>1672</v>
      </c>
      <c r="Z4" s="3673"/>
      <c r="AA4" s="3667" t="s">
        <v>1668</v>
      </c>
      <c r="AB4" s="3667" t="s">
        <v>1669</v>
      </c>
      <c r="AC4" s="3667" t="s">
        <v>1670</v>
      </c>
    </row>
    <row r="5" spans="1:29" ht="15">
      <c r="A5" s="358"/>
      <c r="B5" s="359"/>
      <c r="C5" s="3678" t="s">
        <v>1673</v>
      </c>
      <c r="D5" s="3679"/>
      <c r="E5" s="3676" t="s">
        <v>1674</v>
      </c>
      <c r="F5" s="3677"/>
      <c r="G5" s="3678" t="s">
        <v>1675</v>
      </c>
      <c r="H5" s="3679"/>
      <c r="I5" s="3678" t="s">
        <v>1676</v>
      </c>
      <c r="J5" s="3679"/>
      <c r="K5" s="1890"/>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1890"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0" t="s">
        <v>1680</v>
      </c>
      <c r="Q7" s="3698"/>
      <c r="R7" s="701" t="s">
        <v>20</v>
      </c>
      <c r="S7" s="702">
        <f t="shared" ref="S7:S15" si="0">F7</f>
        <v>0</v>
      </c>
      <c r="T7" s="701" t="s">
        <v>20</v>
      </c>
      <c r="U7" s="702">
        <f t="shared" ref="U7:U15" si="1">H7</f>
        <v>0</v>
      </c>
      <c r="V7" s="701" t="s">
        <v>20</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0" t="s">
        <v>1683</v>
      </c>
      <c r="Q8" s="3671"/>
      <c r="R8" s="701" t="s">
        <v>20</v>
      </c>
      <c r="S8" s="702">
        <f t="shared" si="0"/>
        <v>100</v>
      </c>
      <c r="T8" s="701" t="s">
        <v>20</v>
      </c>
      <c r="U8" s="702">
        <f t="shared" si="1"/>
        <v>100</v>
      </c>
      <c r="V8" s="701" t="s">
        <v>20</v>
      </c>
      <c r="W8" s="702">
        <f t="shared" si="2"/>
        <v>100</v>
      </c>
      <c r="X8" s="703"/>
      <c r="Y8" s="3670" t="s">
        <v>1683</v>
      </c>
      <c r="Z8" s="367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2"/>
      <c r="Q16" s="1352"/>
      <c r="R16" s="705"/>
      <c r="S16" s="706"/>
      <c r="T16" s="705"/>
      <c r="U16" s="706"/>
      <c r="V16" s="705"/>
      <c r="W16" s="706"/>
      <c r="X16" s="1355"/>
      <c r="Y16" s="3705"/>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2"/>
      <c r="Q18" s="1352"/>
      <c r="R18" s="705"/>
      <c r="S18" s="706"/>
      <c r="T18" s="705"/>
      <c r="U18" s="706"/>
      <c r="V18" s="705"/>
      <c r="W18" s="706"/>
      <c r="X18" s="1355"/>
      <c r="Y18" s="3705"/>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2"/>
      <c r="Q20" s="1352"/>
      <c r="R20" s="705"/>
      <c r="S20" s="706"/>
      <c r="T20" s="705"/>
      <c r="U20" s="706"/>
      <c r="V20" s="705"/>
      <c r="W20" s="706"/>
      <c r="X20" s="1355"/>
      <c r="Y20" s="3705"/>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2"/>
      <c r="Q22" s="1352"/>
      <c r="R22" s="705"/>
      <c r="S22" s="706"/>
      <c r="T22" s="705"/>
      <c r="U22" s="706"/>
      <c r="V22" s="705"/>
      <c r="W22" s="706"/>
      <c r="X22" s="1355"/>
      <c r="Y22" s="3705"/>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2"/>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2"/>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97"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97"/>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97"/>
      <c r="AC6" s="3669"/>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2"/>
      <c r="Q22" s="1352"/>
      <c r="R22" s="705"/>
      <c r="S22" s="706"/>
      <c r="T22" s="705"/>
      <c r="U22" s="706"/>
      <c r="V22" s="705"/>
      <c r="W22" s="706"/>
      <c r="X22" s="1355"/>
      <c r="Y22" s="3705"/>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7" t="s">
        <v>1696</v>
      </c>
      <c r="Q38" s="1352" t="str">
        <f t="shared" si="11"/>
        <v>业态</v>
      </c>
      <c r="R38" s="705" t="s">
        <v>14</v>
      </c>
      <c r="S38" s="706">
        <f t="shared" si="12"/>
        <v>100</v>
      </c>
      <c r="T38" s="705" t="s">
        <v>14</v>
      </c>
      <c r="U38" s="706">
        <f t="shared" si="13"/>
        <v>100</v>
      </c>
      <c r="V38" s="705" t="s">
        <v>14</v>
      </c>
      <c r="W38" s="706">
        <f t="shared" si="14"/>
        <v>100</v>
      </c>
      <c r="X38" s="1355"/>
      <c r="Y38" s="370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2" t="str">
        <f>A47</f>
        <v>成交单价（元/平方米）</v>
      </c>
      <c r="Q47" s="3702"/>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14" t="s">
        <v>1771</v>
      </c>
      <c r="S4" s="3715"/>
      <c r="T4" s="3714" t="s">
        <v>1772</v>
      </c>
      <c r="U4" s="3715"/>
      <c r="V4" s="3723" t="s">
        <v>1773</v>
      </c>
      <c r="W4" s="3723"/>
      <c r="X4" s="1958"/>
      <c r="Y4" s="3714" t="s">
        <v>1775</v>
      </c>
      <c r="Z4" s="3715"/>
      <c r="AA4" s="3713" t="s">
        <v>1771</v>
      </c>
      <c r="AB4" s="3713" t="s">
        <v>1772</v>
      </c>
      <c r="AC4" s="3716" t="s">
        <v>1773</v>
      </c>
    </row>
    <row r="5" spans="1:29" ht="15">
      <c r="A5" s="358"/>
      <c r="B5" s="359"/>
      <c r="C5" s="3678" t="s">
        <v>1673</v>
      </c>
      <c r="D5" s="3679"/>
      <c r="E5" s="3676" t="s">
        <v>1674</v>
      </c>
      <c r="F5" s="3677"/>
      <c r="G5" s="3678" t="s">
        <v>1675</v>
      </c>
      <c r="H5" s="3679"/>
      <c r="I5" s="3678" t="s">
        <v>1676</v>
      </c>
      <c r="J5" s="3679"/>
      <c r="K5" s="559"/>
      <c r="L5" s="2715"/>
      <c r="M5" s="2716"/>
      <c r="N5" s="2716"/>
      <c r="O5" s="2716"/>
      <c r="P5" s="3721"/>
      <c r="Q5" s="3692"/>
      <c r="R5" s="3674"/>
      <c r="S5" s="3675"/>
      <c r="T5" s="3674"/>
      <c r="U5" s="3675"/>
      <c r="V5" s="3697"/>
      <c r="W5" s="3697"/>
      <c r="X5" s="1355"/>
      <c r="Y5" s="3674"/>
      <c r="Z5" s="3675"/>
      <c r="AA5" s="3668"/>
      <c r="AB5" s="3668"/>
      <c r="AC5" s="3717"/>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722"/>
      <c r="Q6" s="3694"/>
      <c r="R6" s="3674"/>
      <c r="S6" s="3675"/>
      <c r="T6" s="3695"/>
      <c r="U6" s="3696"/>
      <c r="V6" s="3697"/>
      <c r="W6" s="3697"/>
      <c r="X6" s="1355"/>
      <c r="Y6" s="3695"/>
      <c r="Z6" s="3696"/>
      <c r="AA6" s="3669"/>
      <c r="AB6" s="3669"/>
      <c r="AC6" s="3718"/>
    </row>
    <row r="7" spans="1:29" s="108" customFormat="1" ht="15.75" thickBot="1">
      <c r="A7" s="362" t="s">
        <v>1679</v>
      </c>
      <c r="B7" s="363"/>
      <c r="C7" s="364">
        <f>'数据-取费表'!B2</f>
        <v>45187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671"/>
      <c r="R8" s="701" t="s">
        <v>14</v>
      </c>
      <c r="S8" s="702">
        <f t="shared" si="0"/>
        <v>100</v>
      </c>
      <c r="T8" s="701" t="s">
        <v>14</v>
      </c>
      <c r="U8" s="702">
        <f t="shared" si="1"/>
        <v>100</v>
      </c>
      <c r="V8" s="701" t="s">
        <v>14</v>
      </c>
      <c r="W8" s="702">
        <f t="shared" si="2"/>
        <v>100</v>
      </c>
      <c r="X8" s="703"/>
      <c r="Y8" s="3670" t="s">
        <v>1683</v>
      </c>
      <c r="Z8" s="367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2"/>
      <c r="Q22" s="1352"/>
      <c r="R22" s="705"/>
      <c r="S22" s="706"/>
      <c r="T22" s="705"/>
      <c r="U22" s="706"/>
      <c r="V22" s="705"/>
      <c r="W22" s="706"/>
      <c r="X22" s="1355"/>
      <c r="Y22" s="3705"/>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2"/>
      <c r="Q26" s="1352"/>
      <c r="R26" s="705"/>
      <c r="S26" s="706"/>
      <c r="T26" s="705"/>
      <c r="U26" s="706"/>
      <c r="V26" s="705"/>
      <c r="W26" s="706"/>
      <c r="X26" s="1355"/>
      <c r="Y26" s="370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2"/>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702"/>
      <c r="R48" s="3703">
        <f>E48</f>
        <v>0</v>
      </c>
      <c r="S48" s="3703"/>
      <c r="T48" s="3703">
        <f>G48</f>
        <v>0</v>
      </c>
      <c r="U48" s="3703"/>
      <c r="V48" s="3703">
        <f>I48</f>
        <v>0</v>
      </c>
      <c r="W48" s="370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G46" sqref="G4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3397</v>
      </c>
      <c r="F1" s="1879" t="s">
        <v>3398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0.1386</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1.2</v>
      </c>
      <c r="C3" s="354" t="s">
        <v>1768</v>
      </c>
      <c r="D3" s="353">
        <f>IF(D1="",'数据-汇总表'!E3,SUMIF('数据-汇总表'!$C19:$C33,D1,'数据-汇总表'!$E19:$E33))</f>
        <v>1155.3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728" t="s">
        <v>3416</v>
      </c>
      <c r="F5" s="3677"/>
      <c r="G5" s="3729" t="s">
        <v>3417</v>
      </c>
      <c r="H5" s="3679"/>
      <c r="I5" s="3729" t="s">
        <v>3424</v>
      </c>
      <c r="J5" s="3679"/>
      <c r="K5" s="559"/>
      <c r="L5" s="913"/>
      <c r="M5" s="914"/>
      <c r="N5" s="914"/>
      <c r="O5" s="914"/>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913"/>
      <c r="M6" s="914"/>
      <c r="N6" s="914"/>
      <c r="O6" s="914"/>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45187</v>
      </c>
      <c r="D7" s="365">
        <v>100</v>
      </c>
      <c r="E7" s="366">
        <f>C7</f>
        <v>45187</v>
      </c>
      <c r="F7" s="367">
        <f>SUMIF(52:52,YEAR(E7)&amp;"-"&amp;MONTH(E7),53:53)</f>
        <v>100</v>
      </c>
      <c r="G7" s="366">
        <f>C7</f>
        <v>45187</v>
      </c>
      <c r="H7" s="365">
        <f>SUMIF(52:52,YEAR(G7)&amp;"-"&amp;MONTH(G7),53:53)</f>
        <v>100</v>
      </c>
      <c r="I7" s="366">
        <f>C7</f>
        <v>45187</v>
      </c>
      <c r="J7" s="365">
        <f>SUMIF(52:52,YEAR(I7)&amp;"-"&amp;MONTH(I7),53:53)</f>
        <v>100</v>
      </c>
      <c r="K7" s="560"/>
      <c r="L7" s="915"/>
      <c r="M7" s="916"/>
      <c r="N7" s="916"/>
      <c r="O7" s="916"/>
      <c r="P7" s="3670" t="s">
        <v>1680</v>
      </c>
      <c r="Q7" s="3698"/>
      <c r="R7" s="701" t="s">
        <v>14</v>
      </c>
      <c r="S7" s="702">
        <f t="shared" ref="S7:S15" si="0">F7</f>
        <v>100</v>
      </c>
      <c r="T7" s="701" t="s">
        <v>14</v>
      </c>
      <c r="U7" s="702">
        <f t="shared" ref="U7:U15" si="1">H7</f>
        <v>100</v>
      </c>
      <c r="V7" s="701" t="s">
        <v>14</v>
      </c>
      <c r="W7" s="702">
        <f t="shared" ref="W7:W15" si="2">J7</f>
        <v>100</v>
      </c>
      <c r="X7" s="703"/>
      <c r="Y7" s="3670" t="s">
        <v>1680</v>
      </c>
      <c r="Z7" s="3671"/>
      <c r="AA7" s="704">
        <f>D7/F7</f>
        <v>1</v>
      </c>
      <c r="AB7" s="704">
        <f>D7/H7</f>
        <v>1</v>
      </c>
      <c r="AC7" s="704">
        <f>D7/J7</f>
        <v>1</v>
      </c>
    </row>
    <row r="8" spans="1:29" s="108" customFormat="1" ht="15.75" thickBot="1">
      <c r="A8" s="362" t="s">
        <v>1681</v>
      </c>
      <c r="B8" s="363"/>
      <c r="C8" s="368" t="s">
        <v>3412</v>
      </c>
      <c r="D8" s="365">
        <v>100</v>
      </c>
      <c r="E8" s="368" t="s">
        <v>3412</v>
      </c>
      <c r="F8" s="367">
        <f>SUMIF(55:55,E8,56:56)-SUMIF(55:55,C8,56:56)+100</f>
        <v>100</v>
      </c>
      <c r="G8" s="368" t="s">
        <v>3412</v>
      </c>
      <c r="H8" s="365">
        <f>SUMIF(55:55,G8,56:56)-SUMIF(55:55,C8,56:56)+100</f>
        <v>100</v>
      </c>
      <c r="I8" s="368" t="s">
        <v>3412</v>
      </c>
      <c r="J8" s="365">
        <f>SUMIF(55:55,I8,56:56)-SUMIF(55:55,C8,56:56)+100</f>
        <v>100</v>
      </c>
      <c r="K8" s="560"/>
      <c r="L8" s="915"/>
      <c r="M8" s="916"/>
      <c r="N8" s="916"/>
      <c r="O8" s="916"/>
      <c r="P8" s="3670" t="s">
        <v>1683</v>
      </c>
      <c r="Q8" s="3671"/>
      <c r="R8" s="701" t="s">
        <v>14</v>
      </c>
      <c r="S8" s="702">
        <f t="shared" si="0"/>
        <v>100</v>
      </c>
      <c r="T8" s="701" t="s">
        <v>14</v>
      </c>
      <c r="U8" s="702">
        <f t="shared" si="1"/>
        <v>100</v>
      </c>
      <c r="V8" s="701" t="s">
        <v>14</v>
      </c>
      <c r="W8" s="702">
        <f t="shared" si="2"/>
        <v>100</v>
      </c>
      <c r="X8" s="703"/>
      <c r="Y8" s="3670" t="s">
        <v>1683</v>
      </c>
      <c r="Z8" s="3671"/>
      <c r="AA8" s="704">
        <f t="shared" ref="AA8:AA40" si="3">D8/F8</f>
        <v>1</v>
      </c>
      <c r="AB8" s="704">
        <f t="shared" ref="AB8:AB40" si="4">D8/H8</f>
        <v>1</v>
      </c>
      <c r="AC8" s="704">
        <f t="shared" ref="AC8:AC40" si="5">D8/J8</f>
        <v>1</v>
      </c>
    </row>
    <row r="9" spans="1:29" s="108" customFormat="1">
      <c r="A9" s="369" t="s">
        <v>1684</v>
      </c>
      <c r="B9" s="63" t="s">
        <v>1685</v>
      </c>
      <c r="C9" s="3454" t="s">
        <v>3418</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t="str">
        <f>基准地价修正!C83</f>
        <v>较好</v>
      </c>
      <c r="D16" s="399"/>
      <c r="E16" s="398" t="str">
        <f>C16</f>
        <v>较好</v>
      </c>
      <c r="F16" s="400"/>
      <c r="G16" s="398" t="str">
        <f>C16</f>
        <v>较好</v>
      </c>
      <c r="H16" s="401"/>
      <c r="I16" s="398" t="str">
        <f>C16</f>
        <v>较好</v>
      </c>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t="str">
        <f>基准地价修正!C84</f>
        <v>一般</v>
      </c>
      <c r="D18" s="401"/>
      <c r="E18" s="1903" t="s">
        <v>3380</v>
      </c>
      <c r="F18" s="404"/>
      <c r="G18" s="1903" t="s">
        <v>3380</v>
      </c>
      <c r="H18" s="399"/>
      <c r="I18" s="1903" t="s">
        <v>3380</v>
      </c>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15">
      <c r="A19" s="379"/>
      <c r="B19" s="402" t="s">
        <v>1812</v>
      </c>
      <c r="C19" s="1900">
        <f>估价对象房地状况!G5</f>
        <v>0</v>
      </c>
      <c r="D19" s="406">
        <v>100</v>
      </c>
      <c r="E19" s="408"/>
      <c r="F19" s="409">
        <f>SUMIF(74:74,E20,75:75)-SUMIF(74:74,C20,75:75)+100</f>
        <v>102</v>
      </c>
      <c r="G19" s="410"/>
      <c r="H19" s="401">
        <f>SUMIF(74:74,G20,75:75)-SUMIF(74:74,C20,75:75)+100</f>
        <v>102</v>
      </c>
      <c r="I19" s="408"/>
      <c r="J19" s="401">
        <f>SUMIF(74:74,I20,75:75)-SUMIF(74:74,C20,75:75)+100</f>
        <v>100</v>
      </c>
      <c r="K19" s="563">
        <v>2</v>
      </c>
      <c r="L19" s="923"/>
      <c r="M19" s="914"/>
      <c r="N19" s="914"/>
      <c r="O19" s="922"/>
      <c r="P19" s="3705"/>
      <c r="Q19" s="1352" t="str">
        <f>B19</f>
        <v>公共配套设施</v>
      </c>
      <c r="R19" s="705" t="s">
        <v>14</v>
      </c>
      <c r="S19" s="706">
        <f>F19</f>
        <v>102</v>
      </c>
      <c r="T19" s="705" t="s">
        <v>14</v>
      </c>
      <c r="U19" s="706">
        <f>H19</f>
        <v>102</v>
      </c>
      <c r="V19" s="705" t="s">
        <v>14</v>
      </c>
      <c r="W19" s="706">
        <f>J19</f>
        <v>100</v>
      </c>
      <c r="X19" s="1355"/>
      <c r="Y19" s="3705"/>
      <c r="Z19" s="1356" t="str">
        <f>Q19</f>
        <v>公共配套设施</v>
      </c>
      <c r="AA19" s="1353">
        <f t="shared" si="3"/>
        <v>0.98039215686274506</v>
      </c>
      <c r="AB19" s="1353">
        <f t="shared" si="4"/>
        <v>0.98039215686274506</v>
      </c>
      <c r="AC19" s="1353">
        <f t="shared" si="5"/>
        <v>1</v>
      </c>
    </row>
    <row r="20" spans="1:29" ht="15">
      <c r="A20" s="379"/>
      <c r="B20" s="407"/>
      <c r="C20" s="398" t="s">
        <v>3381</v>
      </c>
      <c r="D20" s="399"/>
      <c r="E20" s="1898" t="s">
        <v>3380</v>
      </c>
      <c r="F20" s="400"/>
      <c r="G20" s="1898" t="s">
        <v>3380</v>
      </c>
      <c r="H20" s="399"/>
      <c r="I20" s="1898" t="s">
        <v>3381</v>
      </c>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t="s">
        <v>3409</v>
      </c>
      <c r="D22" s="399"/>
      <c r="E22" s="398" t="s">
        <v>3409</v>
      </c>
      <c r="F22" s="400"/>
      <c r="G22" s="398" t="s">
        <v>3409</v>
      </c>
      <c r="H22" s="399"/>
      <c r="I22" s="398" t="s">
        <v>3409</v>
      </c>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t="str">
        <f>基准地价修正!C90</f>
        <v>一般</v>
      </c>
      <c r="D24" s="399"/>
      <c r="E24" s="1898" t="s">
        <v>3380</v>
      </c>
      <c r="F24" s="400"/>
      <c r="G24" s="1898" t="s">
        <v>3380</v>
      </c>
      <c r="H24" s="399"/>
      <c r="I24" s="1898" t="s">
        <v>3380</v>
      </c>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t="s">
        <v>3420</v>
      </c>
      <c r="D29" s="418">
        <v>100</v>
      </c>
      <c r="E29" s="1967" t="s">
        <v>3420</v>
      </c>
      <c r="F29" s="412">
        <f>SUMIF(88:88,E29,89:89)-SUMIF(88:88,C29,89:89)+100</f>
        <v>100</v>
      </c>
      <c r="G29" s="1967" t="s">
        <v>3420</v>
      </c>
      <c r="H29" s="386">
        <f>SUMIF(88:88,G29,89:89)-SUMIF(88:88,C29,89:89)+100</f>
        <v>100</v>
      </c>
      <c r="I29" s="1967" t="s">
        <v>3420</v>
      </c>
      <c r="J29" s="418">
        <f>SUMIF(88:88,I29,89:89)-SUMIF(88:88,C29,89:89)+100</f>
        <v>100</v>
      </c>
      <c r="K29" s="561">
        <v>2</v>
      </c>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1155.3</v>
      </c>
      <c r="D30" s="127">
        <v>100</v>
      </c>
      <c r="E30" s="381">
        <v>230</v>
      </c>
      <c r="F30" s="376">
        <f>LOOKUP(E30,91:91,92:92)-LOOKUP(C30,91:91,92:92)+100</f>
        <v>98</v>
      </c>
      <c r="G30" s="380">
        <v>500</v>
      </c>
      <c r="H30" s="127">
        <f>LOOKUP(G30,91:91,92:92)-LOOKUP(C30,91:91,92:92)+100</f>
        <v>99</v>
      </c>
      <c r="I30" s="380">
        <v>1200</v>
      </c>
      <c r="J30" s="127">
        <f>LOOKUP(I30,91:91,92:92)-LOOKUP(C30,91:91,92:92)+100</f>
        <v>100</v>
      </c>
      <c r="K30" s="562"/>
      <c r="L30" s="921"/>
      <c r="M30" s="924"/>
      <c r="N30" s="924"/>
      <c r="O30" s="925"/>
      <c r="P30" s="3709"/>
      <c r="Q30" s="707" t="str">
        <f t="shared" si="11"/>
        <v>项目建筑规模</v>
      </c>
      <c r="R30" s="708" t="s">
        <v>14</v>
      </c>
      <c r="S30" s="709">
        <f t="shared" si="12"/>
        <v>98</v>
      </c>
      <c r="T30" s="708" t="s">
        <v>14</v>
      </c>
      <c r="U30" s="709">
        <f t="shared" si="13"/>
        <v>99</v>
      </c>
      <c r="V30" s="708" t="s">
        <v>14</v>
      </c>
      <c r="W30" s="709">
        <f t="shared" si="14"/>
        <v>100</v>
      </c>
      <c r="X30" s="710"/>
      <c r="Y30" s="3709"/>
      <c r="Z30" s="711" t="str">
        <f t="shared" si="15"/>
        <v>项目建筑规模</v>
      </c>
      <c r="AA30" s="1353">
        <f t="shared" si="3"/>
        <v>1.0204081632653061</v>
      </c>
      <c r="AB30" s="1353">
        <f t="shared" si="4"/>
        <v>1.0101010101010102</v>
      </c>
      <c r="AC30" s="1353">
        <f t="shared" si="5"/>
        <v>1</v>
      </c>
    </row>
    <row r="31" spans="1:29" ht="15">
      <c r="A31" s="423"/>
      <c r="B31" s="375" t="s">
        <v>1698</v>
      </c>
      <c r="C31" s="411" t="s">
        <v>3386</v>
      </c>
      <c r="D31" s="386">
        <v>100</v>
      </c>
      <c r="E31" s="411" t="s">
        <v>3386</v>
      </c>
      <c r="F31" s="412">
        <f>SUMIF(93:93,E31,94:94)-SUMIF(93:93,C31,94:94)+100</f>
        <v>100</v>
      </c>
      <c r="G31" s="411" t="s">
        <v>3419</v>
      </c>
      <c r="H31" s="386">
        <f>SUMIF(93:93,G31,94:94)-SUMIF(93:93,C31,94:94)+100</f>
        <v>102</v>
      </c>
      <c r="I31" s="411" t="s">
        <v>3419</v>
      </c>
      <c r="J31" s="386">
        <f>SUMIF(93:93,I31,94:94)-SUMIF(93:93,C31,94:94)+100</f>
        <v>102</v>
      </c>
      <c r="K31" s="561">
        <v>2</v>
      </c>
      <c r="L31" s="923"/>
      <c r="M31" s="914"/>
      <c r="N31" s="914"/>
      <c r="O31" s="922"/>
      <c r="P31" s="3709"/>
      <c r="Q31" s="1352" t="str">
        <f t="shared" si="11"/>
        <v>建筑结构</v>
      </c>
      <c r="R31" s="705" t="s">
        <v>14</v>
      </c>
      <c r="S31" s="706">
        <f t="shared" si="12"/>
        <v>100</v>
      </c>
      <c r="T31" s="705" t="s">
        <v>14</v>
      </c>
      <c r="U31" s="706">
        <f t="shared" si="13"/>
        <v>102</v>
      </c>
      <c r="V31" s="705" t="s">
        <v>14</v>
      </c>
      <c r="W31" s="706">
        <f t="shared" si="14"/>
        <v>102</v>
      </c>
      <c r="X31" s="1355"/>
      <c r="Y31" s="3709"/>
      <c r="Z31" s="1356" t="str">
        <f t="shared" si="15"/>
        <v>建筑结构</v>
      </c>
      <c r="AA31" s="1353">
        <f t="shared" si="3"/>
        <v>1</v>
      </c>
      <c r="AB31" s="1353">
        <f t="shared" si="4"/>
        <v>0.98039215686274506</v>
      </c>
      <c r="AC31" s="1353">
        <f t="shared" si="5"/>
        <v>0.98039215686274506</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1</v>
      </c>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v>100</v>
      </c>
      <c r="D33" s="386">
        <v>100</v>
      </c>
      <c r="E33" s="425">
        <v>1</v>
      </c>
      <c r="F33" s="412">
        <f>LOOKUP(E33,98:98,99:99)-LOOKUP(C33,98:98,99:99)+100</f>
        <v>100</v>
      </c>
      <c r="G33" s="425">
        <v>1</v>
      </c>
      <c r="H33" s="412">
        <f>LOOKUP(G33,98:98,99:99)-LOOKUP(C33,98:98,99:99)+100</f>
        <v>100</v>
      </c>
      <c r="I33" s="425">
        <v>1</v>
      </c>
      <c r="J33" s="386">
        <f>LOOKUP(I33,98:98,99:99)-LOOKUP(C33,98:98,99:99)+100</f>
        <v>100</v>
      </c>
      <c r="K33" s="561"/>
      <c r="L33" s="923"/>
      <c r="M33" s="914"/>
      <c r="N33" s="914"/>
      <c r="O33" s="922"/>
      <c r="P33" s="3709"/>
      <c r="Q33" s="1352" t="str">
        <f t="shared" si="11"/>
        <v>成新度</v>
      </c>
      <c r="R33" s="705" t="s">
        <v>14</v>
      </c>
      <c r="S33" s="706">
        <f t="shared" si="12"/>
        <v>100</v>
      </c>
      <c r="T33" s="705" t="s">
        <v>14</v>
      </c>
      <c r="U33" s="706">
        <f t="shared" si="13"/>
        <v>100</v>
      </c>
      <c r="V33" s="705" t="s">
        <v>14</v>
      </c>
      <c r="W33" s="706">
        <f t="shared" si="14"/>
        <v>100</v>
      </c>
      <c r="X33" s="1355"/>
      <c r="Y33" s="3709"/>
      <c r="Z33" s="1356" t="str">
        <f t="shared" si="15"/>
        <v>成新度</v>
      </c>
      <c r="AA33" s="1353">
        <f t="shared" si="3"/>
        <v>1</v>
      </c>
      <c r="AB33" s="1353">
        <f t="shared" si="4"/>
        <v>1</v>
      </c>
      <c r="AC33" s="1353">
        <f t="shared" si="5"/>
        <v>1</v>
      </c>
    </row>
    <row r="34" spans="1:29" s="108" customFormat="1" ht="15">
      <c r="A34" s="424"/>
      <c r="B34" s="375" t="s">
        <v>1819</v>
      </c>
      <c r="C34" s="411" t="s">
        <v>3423</v>
      </c>
      <c r="D34" s="127">
        <v>100</v>
      </c>
      <c r="E34" s="411" t="s">
        <v>3423</v>
      </c>
      <c r="F34" s="412">
        <f>SUMIF(100:100,E34,101:101)-SUMIF(100:100,C34,101:101)+100</f>
        <v>100</v>
      </c>
      <c r="G34" s="411" t="s">
        <v>3423</v>
      </c>
      <c r="H34" s="386">
        <f>SUMIF(100:100,G34,101:101)-SUMIF(100:100,C34,101:101)+100</f>
        <v>100</v>
      </c>
      <c r="I34" s="411" t="s">
        <v>3423</v>
      </c>
      <c r="J34" s="386">
        <f>SUMIF(100:100,I34,101:101)-SUMIF(100:100,C34,101:101)+100</f>
        <v>100</v>
      </c>
      <c r="K34" s="561">
        <v>1</v>
      </c>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t="s">
        <v>3409</v>
      </c>
      <c r="D35" s="386">
        <v>100</v>
      </c>
      <c r="E35" s="411" t="s">
        <v>3409</v>
      </c>
      <c r="F35" s="412">
        <f>SUMIF(102:102,E35,103:103)-SUMIF(102:102,C35,103:103)+100</f>
        <v>100</v>
      </c>
      <c r="G35" s="411" t="s">
        <v>3409</v>
      </c>
      <c r="H35" s="386">
        <f>SUMIF(102:102,G35,103:103)-SUMIF(102:102,C35,103:103)+100</f>
        <v>100</v>
      </c>
      <c r="I35" s="411" t="s">
        <v>3409</v>
      </c>
      <c r="J35" s="386">
        <f>SUMIF(102:102,I35,103:103)-SUMIF(102:102,C35,103:103)+100</f>
        <v>100</v>
      </c>
      <c r="K35" s="561">
        <v>1</v>
      </c>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t="s">
        <v>3422</v>
      </c>
      <c r="D36" s="386">
        <v>100</v>
      </c>
      <c r="E36" s="411" t="s">
        <v>3422</v>
      </c>
      <c r="F36" s="412">
        <f>SUMIF(104:104,E36,105:105)-SUMIF(104:104,C36,105:105)+100</f>
        <v>100</v>
      </c>
      <c r="G36" s="411" t="s">
        <v>3422</v>
      </c>
      <c r="H36" s="386">
        <f>SUMIF(104:104,G36,105:105)-SUMIF(104:104,C36,105:105)+100</f>
        <v>100</v>
      </c>
      <c r="I36" s="411" t="s">
        <v>3422</v>
      </c>
      <c r="J36" s="386">
        <f>SUMIF(104:104,I36,105:105)-SUMIF(104:104,C36,105:105)+100</f>
        <v>100</v>
      </c>
      <c r="K36" s="561">
        <v>1</v>
      </c>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t="s">
        <v>3380</v>
      </c>
      <c r="D37" s="386">
        <v>100</v>
      </c>
      <c r="E37" s="565" t="s">
        <v>3380</v>
      </c>
      <c r="F37" s="412">
        <f>SUMIF(106:106,E37,107:107)-SUMIF(106:106,C37,107:107)+100</f>
        <v>100</v>
      </c>
      <c r="G37" s="565" t="s">
        <v>3380</v>
      </c>
      <c r="H37" s="386">
        <f>SUMIF(106:106,G37,107:107)-SUMIF(106:106,C37,107:107)+100</f>
        <v>100</v>
      </c>
      <c r="I37" s="565" t="s">
        <v>3380</v>
      </c>
      <c r="J37" s="386">
        <f>SUMIF(106:106,I37,107:107)-SUMIF(106:106,C37,107:107)+100</f>
        <v>100</v>
      </c>
      <c r="K37" s="561">
        <v>1</v>
      </c>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v>1.1000000000000001</v>
      </c>
      <c r="F41" s="1157"/>
      <c r="G41" s="1158">
        <v>1.2</v>
      </c>
      <c r="H41" s="1159"/>
      <c r="I41" s="1156">
        <v>1.3</v>
      </c>
      <c r="J41" s="1159"/>
      <c r="K41" s="714"/>
      <c r="L41" s="926"/>
      <c r="M41" s="927"/>
      <c r="N41" s="914"/>
      <c r="O41" s="927"/>
      <c r="P41" s="3702" t="str">
        <f>A41</f>
        <v>成交单价（元/平方米）</v>
      </c>
      <c r="Q41" s="3702"/>
      <c r="R41" s="3703">
        <f>E41</f>
        <v>1.1000000000000001</v>
      </c>
      <c r="S41" s="3703"/>
      <c r="T41" s="3703">
        <f>G41</f>
        <v>1.2</v>
      </c>
      <c r="U41" s="3703"/>
      <c r="V41" s="3703">
        <f>I41</f>
        <v>1.3</v>
      </c>
      <c r="W41" s="3703"/>
      <c r="X41" s="690"/>
      <c r="Y41" s="712"/>
      <c r="Z41" s="690"/>
      <c r="AA41" s="690"/>
      <c r="AB41" s="690"/>
      <c r="AC41" s="690"/>
    </row>
    <row r="42" spans="1:29" ht="15.75" thickBot="1">
      <c r="A42" s="437" t="s">
        <v>1793</v>
      </c>
      <c r="B42" s="438"/>
      <c r="C42" s="1160">
        <f>R43</f>
        <v>1.2</v>
      </c>
      <c r="D42" s="2317" t="s">
        <v>2138</v>
      </c>
      <c r="E42" s="1161">
        <f>R42</f>
        <v>1.1000000000000001</v>
      </c>
      <c r="F42" s="2318"/>
      <c r="G42" s="1160">
        <f>T42</f>
        <v>1.2</v>
      </c>
      <c r="H42" s="2318"/>
      <c r="I42" s="1161">
        <f>V42</f>
        <v>1.3</v>
      </c>
      <c r="J42" s="2318"/>
      <c r="K42" s="2320">
        <f>F42+H42+J42</f>
        <v>0</v>
      </c>
      <c r="L42" s="926"/>
      <c r="M42" s="927"/>
      <c r="N42" s="914"/>
      <c r="O42" s="927"/>
      <c r="P42" s="3702" t="str">
        <f>A42</f>
        <v>比较价值（元/平方米）</v>
      </c>
      <c r="Q42" s="3702"/>
      <c r="R42" s="3703">
        <f>IF(F1="售价",ROUND(PRODUCT(R41,AA7:AA40),0),ROUND(PRODUCT(R41,AA7:AA40),1))</f>
        <v>1.1000000000000001</v>
      </c>
      <c r="S42" s="3703"/>
      <c r="T42" s="3703">
        <f>IF(F1="售价",ROUND(PRODUCT(T41,AB7:AB40),0),ROUND(PRODUCT(T41,AB7:AB40),1))</f>
        <v>1.2</v>
      </c>
      <c r="U42" s="3703"/>
      <c r="V42" s="3703">
        <f>IF(F1="售价",ROUND(PRODUCT(V41,AC7:AC40),0),ROUND(PRODUCT(V41,AC7:AC40),1))</f>
        <v>1.3</v>
      </c>
      <c r="W42" s="3703"/>
      <c r="X42" s="690"/>
      <c r="Y42" s="690"/>
      <c r="Z42" s="690"/>
      <c r="AA42" s="690"/>
      <c r="AB42" s="690"/>
      <c r="AC42" s="690"/>
    </row>
    <row r="43" spans="1:29" ht="15.75" thickBot="1">
      <c r="A43" s="441" t="s">
        <v>1794</v>
      </c>
      <c r="B43" s="442"/>
      <c r="C43" s="1163">
        <f>R43</f>
        <v>1.2</v>
      </c>
      <c r="D43" s="1163"/>
      <c r="E43" s="1163"/>
      <c r="F43" s="1163"/>
      <c r="G43" s="1163"/>
      <c r="H43" s="1163"/>
      <c r="I43" s="1163"/>
      <c r="J43" s="1163"/>
      <c r="K43" s="715"/>
      <c r="L43" s="926"/>
      <c r="M43" s="927"/>
      <c r="N43" s="927"/>
      <c r="O43" s="927"/>
      <c r="P43" s="3699" t="str">
        <f>A43</f>
        <v>估价对象XX用房的比较价值（楼面单价，元/平方米）</v>
      </c>
      <c r="Q43" s="3700"/>
      <c r="R43" s="3701">
        <f>IF(F1="售价",ROUND(IF(D42="简单平均",AVERAGE(R42:V42),R42*F42+T42*H42+V42*J42),0),ROUND(IF(D42="简单平均",AVERAGE(R42:V42),R42*F42+T42*H42+V42*J42),1))</f>
        <v>1.2</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1796</v>
      </c>
      <c r="D47" s="450"/>
      <c r="E47" s="448">
        <f>IF(E42&lt;G42,G42/E42-1,E42/G42-1)</f>
        <v>9.0909090909090828E-2</v>
      </c>
      <c r="F47" s="449" t="str">
        <f>IF(OR(E47&gt;=0.2,E47&lt;=-0.2),"超过20%","")</f>
        <v/>
      </c>
      <c r="G47" s="448">
        <f>IF(G42&lt;I42,I42/G42-1,G42/I42-1)</f>
        <v>8.3333333333333481E-2</v>
      </c>
      <c r="H47" s="449" t="str">
        <f>IF(OR(G47&gt;=0.2,G47&lt;=-0.2),"超过20%","")</f>
        <v/>
      </c>
      <c r="I47" s="448">
        <f>IF(I42&lt;E42,E42/I42-1,I42/E42-1)</f>
        <v>0.18181818181818166</v>
      </c>
      <c r="J47" s="449" t="str">
        <f>IF(OR(I47&gt;=0.2,I47&lt;=-0.2),"超过20%","")</f>
        <v/>
      </c>
      <c r="K47" s="2730"/>
      <c r="L47" s="889"/>
      <c r="M47" s="927"/>
      <c r="N47" s="927"/>
      <c r="O47" s="927"/>
    </row>
    <row r="48" spans="1:29" s="451" customFormat="1" ht="13.5" customHeight="1">
      <c r="A48" s="2728"/>
      <c r="B48" s="2728"/>
      <c r="C48" s="446" t="s">
        <v>1797</v>
      </c>
      <c r="D48" s="450"/>
      <c r="E48" s="448">
        <f>IF(E41&lt;G41,G41/E41-1,E41/G41-1)</f>
        <v>9.0909090909090828E-2</v>
      </c>
      <c r="F48" s="449" t="str">
        <f>IF(OR(E48&gt;=0.3,E48&lt;=-0.3),"超过30%","")</f>
        <v/>
      </c>
      <c r="G48" s="448">
        <f>IF(G41&lt;I41,I41/G41-1,G41/I41-1)</f>
        <v>8.3333333333333481E-2</v>
      </c>
      <c r="H48" s="449" t="str">
        <f>IF(OR(G48&gt;=0.3,G48&lt;=-0.3),"超过30%","")</f>
        <v/>
      </c>
      <c r="I48" s="448">
        <f>IF(I41&lt;E41,E41/I41-1,I41/E41-1)</f>
        <v>0.18181818181818166</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4"/>
      <c r="O61" s="934"/>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0" t="s">
        <v>3421</v>
      </c>
      <c r="D88" s="3450"/>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500</v>
      </c>
      <c r="E91" s="544">
        <v>1000</v>
      </c>
      <c r="F91" s="544">
        <v>1500</v>
      </c>
      <c r="G91" s="544">
        <v>2000</v>
      </c>
      <c r="H91" s="544">
        <v>2500</v>
      </c>
      <c r="I91" s="544">
        <v>3000</v>
      </c>
      <c r="J91" s="545"/>
      <c r="K91" s="545"/>
      <c r="L91" s="546"/>
      <c r="M91" s="547"/>
      <c r="N91" s="935"/>
      <c r="O91" s="935"/>
      <c r="P91" s="507"/>
      <c r="Q91" s="508"/>
    </row>
    <row r="92" spans="1:17" s="422" customFormat="1" ht="15.75" thickBot="1">
      <c r="A92" s="502"/>
      <c r="B92" s="492"/>
      <c r="C92" s="509">
        <v>100</v>
      </c>
      <c r="D92" s="485">
        <v>101</v>
      </c>
      <c r="E92" s="509">
        <v>102</v>
      </c>
      <c r="F92" s="485">
        <v>103</v>
      </c>
      <c r="G92" s="509">
        <v>104</v>
      </c>
      <c r="H92" s="485">
        <v>105</v>
      </c>
      <c r="I92" s="509">
        <v>106</v>
      </c>
      <c r="J92" s="485"/>
      <c r="K92" s="485"/>
      <c r="L92" s="485"/>
      <c r="M92" s="486"/>
      <c r="N92" s="934"/>
      <c r="O92" s="934"/>
      <c r="P92" s="507"/>
      <c r="Q92" s="508"/>
    </row>
    <row r="93" spans="1:17" ht="15" thickTop="1">
      <c r="A93" s="548"/>
      <c r="B93" s="487" t="s">
        <v>1738</v>
      </c>
      <c r="C93" s="3451" t="s">
        <v>3402</v>
      </c>
      <c r="D93" s="3451" t="s">
        <v>3401</v>
      </c>
      <c r="E93" s="3452" t="s">
        <v>3403</v>
      </c>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1" t="s">
        <v>3404</v>
      </c>
      <c r="D95" s="3451" t="s">
        <v>3405</v>
      </c>
      <c r="E95" s="3451" t="s">
        <v>3406</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3451" t="s">
        <v>3407</v>
      </c>
      <c r="D100" s="3451" t="s">
        <v>3408</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51" t="s">
        <v>3410</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1" t="s">
        <v>3411</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45187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5"/>
      <c r="Q15" s="1352"/>
      <c r="R15" s="705"/>
      <c r="S15" s="706"/>
      <c r="T15" s="705"/>
      <c r="U15" s="706"/>
      <c r="V15" s="705"/>
      <c r="W15" s="706"/>
      <c r="X15" s="1355"/>
      <c r="Y15" s="3705"/>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5"/>
      <c r="Q17" s="1352"/>
      <c r="R17" s="705"/>
      <c r="S17" s="706"/>
      <c r="T17" s="705"/>
      <c r="U17" s="706"/>
      <c r="V17" s="705"/>
      <c r="W17" s="706"/>
      <c r="X17" s="1355"/>
      <c r="Y17" s="3705"/>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5"/>
      <c r="Q19" s="1352"/>
      <c r="R19" s="705"/>
      <c r="S19" s="706"/>
      <c r="T19" s="705"/>
      <c r="U19" s="706"/>
      <c r="V19" s="705"/>
      <c r="W19" s="706"/>
      <c r="X19" s="1355"/>
      <c r="Y19" s="3705"/>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估价对象为北京市房地产，为所有。根据《国有土地使用证》[]，估价对象（分摊）出让国有建设用地使用权面积为6667.9平方米，建筑面积为1155.3平方米。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估价对象为北京市房地产,为开发建设的，该项目尚在开发建设中。根据《国有土地使用证》[]，估价对象（分摊）出让国有建设用地使用权面积为6667.9平方米，规划建筑面积为1155.3平方米。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45187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5"/>
      <c r="Q15" s="1352"/>
      <c r="R15" s="705"/>
      <c r="S15" s="706"/>
      <c r="T15" s="705"/>
      <c r="U15" s="706"/>
      <c r="V15" s="705"/>
      <c r="W15" s="706"/>
      <c r="X15" s="1355"/>
      <c r="Y15" s="3705"/>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5"/>
      <c r="Q17" s="1352"/>
      <c r="R17" s="705"/>
      <c r="S17" s="706"/>
      <c r="T17" s="705"/>
      <c r="U17" s="706"/>
      <c r="V17" s="705"/>
      <c r="W17" s="706"/>
      <c r="X17" s="1355"/>
      <c r="Y17" s="3705"/>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5"/>
      <c r="Q19" s="1352"/>
      <c r="R19" s="705"/>
      <c r="S19" s="706"/>
      <c r="T19" s="705"/>
      <c r="U19" s="706"/>
      <c r="V19" s="705"/>
      <c r="W19" s="706"/>
      <c r="X19" s="1355"/>
      <c r="Y19" s="3705"/>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30"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30"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30" s="108" customFormat="1" ht="15.75" thickBot="1">
      <c r="A7" s="362" t="s">
        <v>1679</v>
      </c>
      <c r="B7" s="363"/>
      <c r="C7" s="364">
        <f>'数据-取费表'!B2</f>
        <v>45187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2"/>
      <c r="Q10" s="1343" t="str">
        <f t="shared" si="6"/>
        <v>土地使用年限（年）</v>
      </c>
      <c r="R10" s="701" t="s">
        <v>14</v>
      </c>
      <c r="S10" s="702">
        <f t="shared" si="0"/>
        <v>123</v>
      </c>
      <c r="T10" s="701" t="s">
        <v>14</v>
      </c>
      <c r="U10" s="702">
        <f t="shared" si="1"/>
        <v>123</v>
      </c>
      <c r="V10" s="701" t="s">
        <v>14</v>
      </c>
      <c r="W10" s="702">
        <f t="shared" si="2"/>
        <v>123</v>
      </c>
      <c r="X10" s="703"/>
      <c r="Y10" s="3614"/>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5"/>
      <c r="Q20" s="1352"/>
      <c r="R20" s="705"/>
      <c r="S20" s="706"/>
      <c r="T20" s="705"/>
      <c r="U20" s="706"/>
      <c r="V20" s="705"/>
      <c r="W20" s="706"/>
      <c r="X20" s="1355"/>
      <c r="Y20" s="3705"/>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5"/>
      <c r="Q24" s="1352"/>
      <c r="R24" s="705"/>
      <c r="S24" s="706"/>
      <c r="T24" s="705"/>
      <c r="U24" s="706"/>
      <c r="V24" s="705"/>
      <c r="W24" s="706"/>
      <c r="X24" s="1355"/>
      <c r="Y24" s="3705"/>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5"/>
      <c r="Q26" s="1352"/>
      <c r="R26" s="705"/>
      <c r="S26" s="706"/>
      <c r="T26" s="705"/>
      <c r="U26" s="706"/>
      <c r="V26" s="705"/>
      <c r="W26" s="706"/>
      <c r="X26" s="1355"/>
      <c r="Y26" s="3705"/>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5"/>
      <c r="Q28" s="1343"/>
      <c r="R28" s="701"/>
      <c r="S28" s="702"/>
      <c r="T28" s="701"/>
      <c r="U28" s="702"/>
      <c r="V28" s="701"/>
      <c r="W28" s="702"/>
      <c r="X28" s="703"/>
      <c r="Y28" s="3705"/>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2" t="str">
        <f>A46</f>
        <v>成交单价</v>
      </c>
      <c r="Q46" s="3702"/>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2" t="str">
        <f>A47</f>
        <v>比较价值（元/平方米）</v>
      </c>
      <c r="Q47" s="3702"/>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1155.3</v>
      </c>
      <c r="F56" s="886" t="e">
        <f t="shared" ref="F56:F64" si="15">ROUND(B56*E56/10000,0)</f>
        <v>#DIV/0!</v>
      </c>
      <c r="G56" s="3684"/>
      <c r="H56" s="370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45187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2"/>
      <c r="Q10" s="1343" t="str">
        <f t="shared" si="6"/>
        <v>土地使用年限（年）</v>
      </c>
      <c r="R10" s="701" t="s">
        <v>14</v>
      </c>
      <c r="S10" s="702">
        <f t="shared" si="0"/>
        <v>123</v>
      </c>
      <c r="T10" s="701" t="s">
        <v>14</v>
      </c>
      <c r="U10" s="702">
        <f t="shared" si="1"/>
        <v>123</v>
      </c>
      <c r="V10" s="701" t="s">
        <v>14</v>
      </c>
      <c r="W10" s="702">
        <f t="shared" si="2"/>
        <v>123</v>
      </c>
      <c r="X10" s="703"/>
      <c r="Y10" s="3614"/>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5"/>
      <c r="Q20" s="1352"/>
      <c r="R20" s="705"/>
      <c r="S20" s="706"/>
      <c r="T20" s="705"/>
      <c r="U20" s="706"/>
      <c r="V20" s="705"/>
      <c r="W20" s="706"/>
      <c r="X20" s="1355"/>
      <c r="Y20" s="3705"/>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5"/>
      <c r="Q24" s="1343"/>
      <c r="R24" s="701"/>
      <c r="S24" s="702"/>
      <c r="T24" s="701"/>
      <c r="U24" s="702"/>
      <c r="V24" s="701"/>
      <c r="W24" s="702"/>
      <c r="X24" s="703"/>
      <c r="Y24" s="3705"/>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2" t="str">
        <f>A41</f>
        <v>成交单价</v>
      </c>
      <c r="Q41" s="3702"/>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2" t="str">
        <f>A42</f>
        <v>比较价值（元/平方米）</v>
      </c>
      <c r="Q42" s="3702"/>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1155.3</v>
      </c>
      <c r="F51" s="639" t="e">
        <f t="shared" ref="F51:F60" si="15">ROUND(B51*E51/10000,0)</f>
        <v>#DIV/0!</v>
      </c>
      <c r="G51" s="3684"/>
      <c r="H51" s="370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6667.9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556</v>
      </c>
      <c r="C2" s="2145" t="s">
        <v>2074</v>
      </c>
      <c r="D2" s="2145" t="s">
        <v>2075</v>
      </c>
      <c r="E2" s="2612">
        <f ca="1">SUMIF(E6:E13,"&lt;&gt;#ref!",E6:E13)</f>
        <v>6667.9</v>
      </c>
      <c r="F2" s="2793"/>
      <c r="G2" s="2793"/>
      <c r="H2" s="2793"/>
      <c r="I2" s="2793"/>
      <c r="J2" s="2793"/>
      <c r="K2" s="2793"/>
      <c r="L2" s="2793"/>
      <c r="M2" s="2793"/>
      <c r="N2" s="2793"/>
      <c r="O2" s="2793"/>
      <c r="P2" s="2793"/>
    </row>
    <row r="3" spans="1:16" ht="15.75">
      <c r="A3" s="2145" t="s">
        <v>2076</v>
      </c>
      <c r="B3" s="2602">
        <f ca="1">ROUND(B2*10000/E2,0)</f>
        <v>834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556</v>
      </c>
      <c r="C6" s="2145" t="s">
        <v>2074</v>
      </c>
      <c r="D6" s="2793"/>
      <c r="E6" s="2612">
        <f ca="1">SUMIF(INDIRECT("'"&amp;A6&amp;"'"&amp;"!C:C"),"建筑面积",INDIRECT("'"&amp;A6&amp;"'"&amp;"!D:D"))</f>
        <v>6667.9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0" zoomScale="85" zoomScaleNormal="80" zoomScaleSheetLayoutView="85" workbookViewId="0">
      <selection activeCell="C88" sqref="C8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556</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834</v>
      </c>
      <c r="C3" s="1999" t="s">
        <v>1941</v>
      </c>
      <c r="D3" s="2000" t="s">
        <v>1942</v>
      </c>
      <c r="E3" s="3420" t="s">
        <v>2474</v>
      </c>
      <c r="F3" s="2004" t="s">
        <v>3377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808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950</v>
      </c>
      <c r="D5" s="1339">
        <f>ROUND(C6*C17+C20,0)</f>
        <v>950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625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950</v>
      </c>
      <c r="N9" s="866">
        <f>SUMPRODUCT((因素修正幅度!B277:B326=I2)*(因素修正幅度!C3:G3=E2)*(因素修正幅度!C277:G326))</f>
        <v>0.14499999999999999</v>
      </c>
      <c r="O9" s="1119"/>
      <c r="P9" s="1119"/>
      <c r="Q9" s="1119"/>
      <c r="R9" s="1212">
        <v>8</v>
      </c>
      <c r="S9" s="1213"/>
      <c r="T9" s="3361">
        <f t="shared" si="0"/>
        <v>0</v>
      </c>
      <c r="U9" s="1213"/>
      <c r="V9" s="3361">
        <f t="shared" si="1"/>
        <v>0</v>
      </c>
      <c r="W9" s="3751"/>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c r="D12" s="3307" t="s">
        <v>3237</v>
      </c>
      <c r="E12" s="3308" t="s">
        <v>3238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3245</v>
      </c>
      <c r="E18" s="3329"/>
      <c r="F18" s="3324" t="s">
        <v>3248</v>
      </c>
      <c r="G18" s="3328">
        <f>ROUND(1-(1/(POWER(1+G24,E18))),4)</f>
        <v>0</v>
      </c>
      <c r="H18" s="3324" t="s">
        <v>3250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3251</v>
      </c>
      <c r="B20" s="167" t="s">
        <v>1994</v>
      </c>
      <c r="C20" s="3325">
        <f>ROUND(IF(F21="与级别开发程度一致",0,(G21-E21)/C21),0)</f>
        <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7"/>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3378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45187</v>
      </c>
      <c r="H23" s="3343" t="s">
        <v>3253</v>
      </c>
      <c r="I23" s="3344" t="str">
        <f>IF(H23="季度增幅（自定义）",SUMIF(N25:N28,E2,O25:O28),"")</f>
        <v/>
      </c>
      <c r="J23" s="3446" t="s">
        <v>3252</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0.81040000000000001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27.59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1.0187999999999999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556</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834</v>
      </c>
      <c r="D33" s="2098">
        <f>'数据-汇总表'!D3</f>
        <v>6667.9</v>
      </c>
      <c r="E33" s="773">
        <f>ROUND(C33*D33/10000,0)</f>
        <v>556</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125</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f>ROUND(D5*C22*C23*C24*C28*F37,0)</f>
        <v>417</v>
      </c>
      <c r="D37" s="2098"/>
      <c r="E37" s="171">
        <f>ROUND(C37*D37/10000,0)</f>
        <v>0</v>
      </c>
      <c r="F37" s="171">
        <f>SUMIF(修正!A57:A68,G2,修正!B57:B68)</f>
        <v>0.5</v>
      </c>
      <c r="G37" s="171">
        <f>ROUND(IF(E2="工业",C37*$M$42,C37*$M$41),0)</f>
        <v>63</v>
      </c>
      <c r="H37" s="171">
        <f>D37</f>
        <v>0</v>
      </c>
      <c r="I37" s="171">
        <f>ROUND(G37*H37/10000,0)</f>
        <v>0</v>
      </c>
      <c r="J37" s="3012"/>
      <c r="K37" s="3359" t="s">
        <v>3263</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f>ROUND(D5*C22*C23*C24*C28*F38,0)</f>
        <v>167</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3256</v>
      </c>
      <c r="C39" s="175">
        <f>ROUND(D5*C22*C23*C24*C28*F39,0)</f>
        <v>167</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167</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167</v>
      </c>
      <c r="D41" s="2098"/>
      <c r="E41" s="171">
        <f t="shared" si="4"/>
        <v>0</v>
      </c>
      <c r="F41" s="175">
        <f>SUMIF(修正!A57:A68,G2,修正!F57:F68)</f>
        <v>0.2</v>
      </c>
      <c r="G41" s="171">
        <f>ROUND(IF(E2="工业",C41*$M$42,C41*$M$41),0)</f>
        <v>25</v>
      </c>
      <c r="H41" s="171">
        <f t="shared" si="5"/>
        <v>0</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83</v>
      </c>
      <c r="D42" s="2103"/>
      <c r="E42" s="187">
        <f t="shared" si="4"/>
        <v>0</v>
      </c>
      <c r="F42" s="767">
        <f>SUMIF(修正!A57:A68,G2,修正!G57:G68)</f>
        <v>0.1</v>
      </c>
      <c r="G42" s="187">
        <f>ROUND(IF(E2="工业",C42*$M$42,C42*$M$41),0)</f>
        <v>12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0.81040000000000001</v>
      </c>
      <c r="D44" s="171" t="s">
        <v>1999</v>
      </c>
      <c r="E44" s="2153">
        <f>G24</f>
        <v>0.05</v>
      </c>
      <c r="F44" s="171" t="s">
        <v>2008</v>
      </c>
      <c r="G44" s="183">
        <f>项目基本情况!H15</f>
        <v>27.59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1.0187999999999999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t="s">
        <v>3379</v>
      </c>
      <c r="D83" s="1065">
        <f t="shared" ref="D83:D90" si="22">SUMIF($J$82:$N$82,C83,J83:N83)</f>
        <v>1.8800000000000001E-2</v>
      </c>
      <c r="E83" s="744">
        <f>ROUND(SUM(D83:D90),4)</f>
        <v>1.8800000000000001E-2</v>
      </c>
      <c r="F83" s="1814">
        <f>IF(E2="工业",SUMIF(L1:L12,G2,N1:N12),"——")</f>
        <v>0.14499999999999999</v>
      </c>
      <c r="G83" s="1063">
        <f>H83</f>
        <v>1.8800000000000001E-2</v>
      </c>
      <c r="H83" s="1066">
        <f t="shared" ref="H83:H90" si="23">IFERROR(ROUNDDOWN($F$83*I83/2,4),"——")</f>
        <v>1.8800000000000001E-2</v>
      </c>
      <c r="I83" s="3367">
        <v>0.26</v>
      </c>
      <c r="J83" s="1064">
        <f t="shared" ref="J83:J90" si="24">K83+$G83</f>
        <v>3.7600000000000001E-2</v>
      </c>
      <c r="K83" s="1064">
        <f t="shared" ref="K83:K90" si="25">$L83+$G83</f>
        <v>1.8800000000000001E-2</v>
      </c>
      <c r="L83" s="1064">
        <v>0</v>
      </c>
      <c r="M83" s="1064">
        <f t="shared" ref="M83:N90" si="26">L83-$G83</f>
        <v>-1.8800000000000001E-2</v>
      </c>
      <c r="N83" s="1064">
        <f t="shared" si="26"/>
        <v>-3.7600000000000001E-2</v>
      </c>
      <c r="Z83" s="1998"/>
      <c r="AA83" s="2053"/>
      <c r="AG83" s="1121"/>
      <c r="AK83" s="2053"/>
    </row>
    <row r="84" spans="1:37" ht="14.25">
      <c r="A84" s="2130" t="s">
        <v>2053</v>
      </c>
      <c r="B84" s="2134">
        <f>估价对象房地状况!G16</f>
        <v>0</v>
      </c>
      <c r="C84" s="2044" t="s">
        <v>3380</v>
      </c>
      <c r="D84" s="1065">
        <f t="shared" si="22"/>
        <v>0</v>
      </c>
      <c r="E84" s="747"/>
      <c r="F84" s="1814"/>
      <c r="G84" s="1063">
        <f t="shared" ref="G84:G90" si="27">H84</f>
        <v>2.1700000000000001E-2</v>
      </c>
      <c r="H84" s="1066">
        <f t="shared" si="23"/>
        <v>2.1700000000000001E-2</v>
      </c>
      <c r="I84" s="3367">
        <v>0.3</v>
      </c>
      <c r="J84" s="1064">
        <f t="shared" si="24"/>
        <v>4.3400000000000001E-2</v>
      </c>
      <c r="K84" s="1064">
        <f t="shared" si="25"/>
        <v>2.1700000000000001E-2</v>
      </c>
      <c r="L84" s="1064">
        <v>0</v>
      </c>
      <c r="M84" s="1064">
        <f t="shared" si="26"/>
        <v>-2.1700000000000001E-2</v>
      </c>
      <c r="N84" s="1064">
        <f t="shared" si="26"/>
        <v>-4.3400000000000001E-2</v>
      </c>
      <c r="Z84" s="1998"/>
      <c r="AA84" s="2053"/>
      <c r="AG84" s="1121"/>
      <c r="AK84" s="2053"/>
    </row>
    <row r="85" spans="1:37" ht="36">
      <c r="A85" s="3369" t="s">
        <v>3267</v>
      </c>
      <c r="B85" s="2134">
        <f>估价对象房地状况!G17</f>
        <v>0</v>
      </c>
      <c r="C85" s="2044" t="s">
        <v>3380</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3380</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4">
      <c r="A87" s="2130" t="s">
        <v>2059</v>
      </c>
      <c r="B87" s="1326">
        <f>估价对象房地状况!G19</f>
        <v>0</v>
      </c>
      <c r="C87" s="2044" t="s">
        <v>3381</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4">
      <c r="A88" s="2130" t="s">
        <v>2060</v>
      </c>
      <c r="B88" s="1326">
        <f>估价对象房地状况!G20</f>
        <v>0</v>
      </c>
      <c r="C88" s="2044" t="s">
        <v>3380</v>
      </c>
      <c r="D88" s="1065">
        <f t="shared" si="22"/>
        <v>0</v>
      </c>
      <c r="E88" s="747"/>
      <c r="F88" s="1814"/>
      <c r="G88" s="1063">
        <f t="shared" si="27"/>
        <v>8.6999999999999994E-3</v>
      </c>
      <c r="H88" s="1066">
        <f t="shared" si="23"/>
        <v>8.6999999999999994E-3</v>
      </c>
      <c r="I88" s="3367">
        <v>0.12</v>
      </c>
      <c r="J88" s="1064">
        <f t="shared" si="24"/>
        <v>1.7399999999999999E-2</v>
      </c>
      <c r="K88" s="1064">
        <f t="shared" si="25"/>
        <v>8.6999999999999994E-3</v>
      </c>
      <c r="L88" s="1064">
        <v>0</v>
      </c>
      <c r="M88" s="1064">
        <f t="shared" si="26"/>
        <v>-8.6999999999999994E-3</v>
      </c>
      <c r="N88" s="1064">
        <f t="shared" si="26"/>
        <v>-1.7399999999999999E-2</v>
      </c>
    </row>
    <row r="89" spans="1:37" ht="24">
      <c r="A89" s="2130" t="s">
        <v>2057</v>
      </c>
      <c r="B89" s="2136" t="s">
        <v>2071</v>
      </c>
      <c r="C89" s="2044" t="s">
        <v>3379</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15" thickBot="1">
      <c r="A90" s="2138" t="s">
        <v>2072</v>
      </c>
      <c r="B90" s="2143">
        <f>估价对象房地状况!G18</f>
        <v>0</v>
      </c>
      <c r="C90" s="2044" t="s">
        <v>3380</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3270</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3271</v>
      </c>
      <c r="B96" s="3385" t="s">
        <v>3282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3273</v>
      </c>
      <c r="B98" s="3386" t="s">
        <v>3283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3274</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3275</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3276</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8" t="s">
        <v>3291</v>
      </c>
      <c r="B103" s="3758"/>
      <c r="C103" s="3758"/>
      <c r="D103" s="3758"/>
      <c r="E103" s="3758"/>
      <c r="F103" s="3758"/>
      <c r="G103" s="3758"/>
      <c r="H103" s="3758"/>
      <c r="I103" s="3758"/>
      <c r="J103" s="3758"/>
      <c r="K103" s="3390"/>
      <c r="L103" s="3390"/>
      <c r="M103" s="3390"/>
      <c r="N103" s="3390"/>
    </row>
    <row r="104" spans="1:14">
      <c r="A104" s="3759" t="s">
        <v>3292</v>
      </c>
      <c r="B104" s="3759" t="s">
        <v>3293</v>
      </c>
      <c r="C104" s="3391" t="s">
        <v>3294</v>
      </c>
      <c r="D104" s="3392"/>
      <c r="E104" s="3392"/>
      <c r="F104" s="3392"/>
      <c r="G104" s="3392"/>
      <c r="H104" s="3392"/>
      <c r="I104" s="3392"/>
      <c r="J104" s="3393"/>
      <c r="K104" s="3394"/>
      <c r="L104" s="3394"/>
      <c r="M104" s="3394"/>
      <c r="N104" s="3394"/>
    </row>
    <row r="105" spans="1:14">
      <c r="A105" s="3759"/>
      <c r="B105" s="3759"/>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745"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3265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8" t="s">
        <v>3308</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3309</v>
      </c>
      <c r="B116" s="3416">
        <f>G3</f>
        <v>1</v>
      </c>
      <c r="C116" s="3400" t="s">
        <v>3310</v>
      </c>
      <c r="D116" s="3401">
        <f>SUMPRODUCT((A118:A122=F116)*(B117:M117=H116)*B118:M122)</f>
        <v>0.57150000000000001</v>
      </c>
      <c r="E116" s="2000" t="s">
        <v>3311</v>
      </c>
      <c r="F116" s="3402" t="str">
        <f>E2</f>
        <v>工业</v>
      </c>
      <c r="G116" s="2000" t="s">
        <v>3312</v>
      </c>
      <c r="H116" s="3402" t="str">
        <f>G2</f>
        <v>九级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2607</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571</v>
      </c>
      <c r="C2" s="1387" t="s">
        <v>805</v>
      </c>
      <c r="D2" s="1387"/>
      <c r="E2" s="1388"/>
      <c r="F2" s="1389"/>
      <c r="G2" s="2706"/>
      <c r="H2" s="2695"/>
      <c r="I2" s="2695"/>
      <c r="J2" s="2695"/>
      <c r="K2" s="2696"/>
      <c r="L2" s="2695"/>
      <c r="M2" s="2695"/>
    </row>
    <row r="3" spans="1:37" ht="18" customHeight="1" thickBot="1">
      <c r="A3" s="1390" t="s">
        <v>806</v>
      </c>
      <c r="B3" s="1391">
        <f ca="1">IF(ISERROR(B2*10000/F43),0,ROUND(B2*10000/F43,0))</f>
        <v>4942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43</v>
      </c>
      <c r="D6" s="155" t="s">
        <v>2109</v>
      </c>
      <c r="E6" s="302" t="s">
        <v>696</v>
      </c>
      <c r="F6" s="303">
        <f ca="1">INDIRECT("'数据-取费表'!u"&amp;$G$1)</f>
        <v>1.2</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1155.3</v>
      </c>
      <c r="G7" s="1384"/>
      <c r="H7" s="304"/>
      <c r="I7" s="3642"/>
      <c r="J7" s="306"/>
      <c r="K7" s="307"/>
      <c r="L7" s="302" t="s">
        <v>697</v>
      </c>
      <c r="M7" s="303">
        <f ca="1">F7</f>
        <v>1155.3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173</v>
      </c>
      <c r="D14" s="1345" t="s">
        <v>708</v>
      </c>
      <c r="E14" s="1342"/>
      <c r="F14" s="319"/>
      <c r="G14" s="1384"/>
      <c r="H14" s="982" t="s">
        <v>398</v>
      </c>
      <c r="I14" s="302" t="s">
        <v>709</v>
      </c>
      <c r="J14" s="21">
        <f ca="1">C29</f>
        <v>240</v>
      </c>
      <c r="K14" s="12"/>
      <c r="L14" s="807"/>
      <c r="M14" s="808"/>
    </row>
    <row r="15" spans="1:37" s="1397" customFormat="1" ht="18" customHeight="1" thickBot="1">
      <c r="A15" s="982" t="s">
        <v>399</v>
      </c>
      <c r="B15" s="302" t="s">
        <v>710</v>
      </c>
      <c r="C15" s="21">
        <f ca="1">ROUND(C14*F15,0)</f>
        <v>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23</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204</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10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240</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8.16</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2.25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4.91</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ROUND(C29*F36,2)</f>
        <v>1.2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0.22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4942</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-599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3386</v>
      </c>
      <c r="K47" s="1416" t="s">
        <v>816</v>
      </c>
      <c r="L47" s="1417">
        <f ca="1">INDIRECT("'数据-取费表'!d"&amp;$G$1)</f>
        <v>50</v>
      </c>
      <c r="M47" s="1380" t="str">
        <f>IF(ISNUMBER(FIND("住宅",C1)),"住宅","非住宅")</f>
        <v>非住宅</v>
      </c>
      <c r="O47" s="1418" t="s">
        <v>403</v>
      </c>
      <c r="P47" s="1419" t="s">
        <v>817</v>
      </c>
      <c r="Q47" s="1420">
        <f ca="1">C40+J29</f>
        <v>571</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27.59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240</v>
      </c>
      <c r="R49" s="1420" t="s">
        <v>818</v>
      </c>
    </row>
    <row r="50" spans="1:18" s="1384" customFormat="1" ht="13.5" thickBot="1">
      <c r="A50" s="976"/>
      <c r="B50" s="979"/>
      <c r="C50" s="1118"/>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337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27.59</v>
      </c>
      <c r="K53" s="3644" t="s">
        <v>837</v>
      </c>
      <c r="L53" s="3645"/>
      <c r="O53" s="1418" t="s">
        <v>409</v>
      </c>
      <c r="P53" s="1419" t="s">
        <v>838</v>
      </c>
      <c r="Q53" s="1420">
        <f ca="1">Q47+Q48</f>
        <v>571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163</v>
      </c>
      <c r="D56" s="1447"/>
      <c r="E56" s="1448"/>
      <c r="F56" s="1440"/>
      <c r="I56" s="1449" t="s">
        <v>842</v>
      </c>
      <c r="J56" s="1450" t="s">
        <v>3371</v>
      </c>
      <c r="K56" s="1421" t="s">
        <v>843</v>
      </c>
      <c r="L56" s="1424" t="str">
        <f ca="1">IF(L48&lt;J51,"——",L48-J53)</f>
        <v>——</v>
      </c>
      <c r="O56" s="1418" t="s">
        <v>403</v>
      </c>
      <c r="P56" s="1419" t="s">
        <v>817</v>
      </c>
      <c r="Q56" s="1420">
        <f ca="1">C40+J29</f>
        <v>571</v>
      </c>
      <c r="R56" s="1420" t="s">
        <v>818</v>
      </c>
    </row>
    <row r="57" spans="1:18" s="1384" customFormat="1" ht="24.75" thickBot="1">
      <c r="A57" s="1451"/>
      <c r="B57" s="950" t="s">
        <v>767</v>
      </c>
      <c r="C57" s="238">
        <f ca="1">C29</f>
        <v>240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571</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0.16</v>
      </c>
      <c r="D65" s="964" t="s">
        <v>743</v>
      </c>
      <c r="E65" s="950" t="s">
        <v>744</v>
      </c>
      <c r="F65" s="330">
        <f t="shared" ca="1" si="0"/>
        <v>1E-3</v>
      </c>
      <c r="I65" s="1462" t="s">
        <v>867</v>
      </c>
      <c r="J65" s="1463">
        <v>40</v>
      </c>
      <c r="K65" s="1463">
        <v>30</v>
      </c>
      <c r="L65" s="1463">
        <v>50</v>
      </c>
      <c r="M65" s="1465">
        <v>0.02</v>
      </c>
      <c r="O65" s="1418" t="s">
        <v>403</v>
      </c>
      <c r="P65" s="1419" t="s">
        <v>868</v>
      </c>
      <c r="Q65" s="1420">
        <f ca="1">C40+J29</f>
        <v>571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337</v>
      </c>
      <c r="R67" s="1420" t="s">
        <v>870</v>
      </c>
    </row>
    <row r="68" spans="1:18" s="1384" customFormat="1" ht="16.5" thickBot="1">
      <c r="A68" s="947" t="s">
        <v>395</v>
      </c>
      <c r="B68" s="948" t="s">
        <v>774</v>
      </c>
      <c r="C68" s="301">
        <f ca="1">ROUND(C67*(1-((1+F70)/(1+F68))^F69)/(F68-F70),0)</f>
        <v>-28</v>
      </c>
      <c r="D68" s="965" t="s">
        <v>758</v>
      </c>
      <c r="E68" s="950" t="s">
        <v>759</v>
      </c>
      <c r="F68" s="312">
        <f ca="1">F40</f>
        <v>5.5E-2</v>
      </c>
      <c r="O68" s="1428" t="s">
        <v>406</v>
      </c>
      <c r="P68" s="1467" t="s">
        <v>871</v>
      </c>
      <c r="Q68" s="1420">
        <f ca="1">ROUND(Q69-Q70*Q71,0)</f>
        <v>22</v>
      </c>
      <c r="R68" s="1420" t="s">
        <v>414</v>
      </c>
    </row>
    <row r="69" spans="1:18" s="1384" customFormat="1" ht="13.5" thickBot="1">
      <c r="A69" s="951"/>
      <c r="B69" s="952"/>
      <c r="C69" s="306"/>
      <c r="D69" s="970" t="s">
        <v>762</v>
      </c>
      <c r="E69" s="950" t="s">
        <v>763</v>
      </c>
      <c r="F69" s="333">
        <f ca="1">F41</f>
        <v>27.59</v>
      </c>
      <c r="O69" s="1428" t="s">
        <v>411</v>
      </c>
      <c r="P69" s="1467" t="s">
        <v>872</v>
      </c>
      <c r="Q69" s="1420">
        <f ca="1">C39</f>
        <v>33</v>
      </c>
      <c r="R69" s="1420" t="s">
        <v>818</v>
      </c>
    </row>
    <row r="70" spans="1:18" s="1384" customFormat="1" ht="13.5" thickBot="1">
      <c r="A70" s="954"/>
      <c r="B70" s="955"/>
      <c r="C70" s="310"/>
      <c r="D70" s="966"/>
      <c r="E70" s="950" t="s">
        <v>766</v>
      </c>
      <c r="F70" s="1054"/>
      <c r="O70" s="1428" t="s">
        <v>412</v>
      </c>
      <c r="P70" s="1467" t="s">
        <v>873</v>
      </c>
      <c r="Q70" s="1420">
        <f ca="1">C13</f>
        <v>163</v>
      </c>
      <c r="R70" s="1420" t="s">
        <v>818</v>
      </c>
    </row>
    <row r="71" spans="1:18" s="1384" customFormat="1" ht="13.5" thickBot="1">
      <c r="A71" s="971" t="s">
        <v>396</v>
      </c>
      <c r="B71" s="972" t="s">
        <v>776</v>
      </c>
      <c r="C71" s="336">
        <f ca="1">ROUND(C68*10000/F71,0)</f>
        <v>-242</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v>
      </c>
      <c r="D75" s="1384"/>
      <c r="E75" s="1384"/>
      <c r="F75" s="1384"/>
      <c r="K75" s="1402"/>
      <c r="L75" s="1384"/>
      <c r="O75" s="1418" t="s">
        <v>409</v>
      </c>
      <c r="P75" s="1419" t="s">
        <v>838</v>
      </c>
      <c r="Q75" s="1420">
        <f ca="1">Q65+Q66</f>
        <v>571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771" t="s">
        <v>2602</v>
      </c>
      <c r="B20" s="3764" t="s">
        <v>2623</v>
      </c>
      <c r="C20" s="3103" t="s">
        <v>2434</v>
      </c>
      <c r="D20" s="3104"/>
      <c r="E20" s="3105">
        <v>1</v>
      </c>
      <c r="F20" s="3106" t="s">
        <v>2435</v>
      </c>
      <c r="G20" s="3106"/>
    </row>
    <row r="21" spans="1:13" ht="19.5" customHeight="1">
      <c r="A21" s="3772"/>
      <c r="B21" s="3765"/>
      <c r="C21" s="3107" t="s">
        <v>2436</v>
      </c>
      <c r="D21" s="3108"/>
      <c r="E21" s="3109">
        <v>1</v>
      </c>
      <c r="F21" s="3106" t="s">
        <v>2437</v>
      </c>
      <c r="G21" s="3106"/>
    </row>
    <row r="22" spans="1:13" ht="19.5" customHeight="1">
      <c r="A22" s="3772"/>
      <c r="B22" s="3765"/>
      <c r="C22" s="3107" t="s">
        <v>2438</v>
      </c>
      <c r="D22" s="3108"/>
      <c r="E22" s="3109">
        <v>0.9</v>
      </c>
      <c r="F22" s="3106" t="s">
        <v>2439</v>
      </c>
      <c r="G22" s="3106"/>
    </row>
    <row r="23" spans="1:13" ht="19.5" customHeight="1">
      <c r="A23" s="3772"/>
      <c r="B23" s="3765"/>
      <c r="C23" s="3107" t="s">
        <v>2440</v>
      </c>
      <c r="D23" s="3108"/>
      <c r="E23" s="3109">
        <v>0.9</v>
      </c>
      <c r="F23" s="3106" t="s">
        <v>2441</v>
      </c>
      <c r="G23" s="3106"/>
    </row>
    <row r="24" spans="1:13" ht="19.5" customHeight="1">
      <c r="A24" s="3772"/>
      <c r="B24" s="3765"/>
      <c r="C24" s="3107" t="s">
        <v>2442</v>
      </c>
      <c r="D24" s="3108"/>
      <c r="E24" s="3109">
        <v>0.8</v>
      </c>
      <c r="F24" s="3106" t="s">
        <v>2443</v>
      </c>
      <c r="G24" s="3106"/>
    </row>
    <row r="25" spans="1:13" ht="19.5" customHeight="1" thickBot="1">
      <c r="A25" s="3773"/>
      <c r="B25" s="3766"/>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67" t="s">
        <v>2626</v>
      </c>
      <c r="B27" s="3764" t="s">
        <v>2607</v>
      </c>
      <c r="C27" s="3103" t="s">
        <v>2447</v>
      </c>
      <c r="D27" s="3104"/>
      <c r="E27" s="3105">
        <v>1</v>
      </c>
      <c r="F27" s="3106" t="s">
        <v>2448</v>
      </c>
      <c r="G27" s="3106"/>
    </row>
    <row r="28" spans="1:13" ht="19.5" customHeight="1">
      <c r="A28" s="3768"/>
      <c r="B28" s="3765"/>
      <c r="C28" s="3107" t="s">
        <v>2449</v>
      </c>
      <c r="D28" s="3108"/>
      <c r="E28" s="3109">
        <v>1</v>
      </c>
      <c r="F28" s="3106" t="s">
        <v>2450</v>
      </c>
      <c r="G28" s="3106"/>
    </row>
    <row r="29" spans="1:13" ht="19.5" customHeight="1">
      <c r="A29" s="3768"/>
      <c r="B29" s="3765"/>
      <c r="C29" s="3107" t="s">
        <v>2451</v>
      </c>
      <c r="D29" s="3108"/>
      <c r="E29" s="3109">
        <v>0.8</v>
      </c>
      <c r="F29" s="3106" t="s">
        <v>2452</v>
      </c>
      <c r="G29" s="3106"/>
    </row>
    <row r="30" spans="1:13" ht="19.5" customHeight="1">
      <c r="A30" s="3768"/>
      <c r="B30" s="3765"/>
      <c r="C30" s="3107" t="s">
        <v>2453</v>
      </c>
      <c r="D30" s="3108"/>
      <c r="E30" s="3109">
        <v>0.8</v>
      </c>
      <c r="F30" s="3106" t="s">
        <v>2454</v>
      </c>
      <c r="G30" s="3106"/>
    </row>
    <row r="31" spans="1:13" ht="19.5" customHeight="1">
      <c r="A31" s="3768"/>
      <c r="B31" s="3765"/>
      <c r="C31" s="3107" t="s">
        <v>2455</v>
      </c>
      <c r="D31" s="3108"/>
      <c r="E31" s="3109">
        <v>0.8</v>
      </c>
      <c r="F31" s="3106" t="s">
        <v>2456</v>
      </c>
      <c r="G31" s="3106"/>
    </row>
    <row r="32" spans="1:13" ht="19.5" customHeight="1">
      <c r="A32" s="3768"/>
      <c r="B32" s="3765"/>
      <c r="C32" s="3107" t="s">
        <v>2457</v>
      </c>
      <c r="D32" s="3108"/>
      <c r="E32" s="3109">
        <v>0.7</v>
      </c>
      <c r="F32" s="3106" t="s">
        <v>2458</v>
      </c>
      <c r="G32" s="3106"/>
    </row>
    <row r="33" spans="1:7" ht="19.5" customHeight="1">
      <c r="A33" s="3768"/>
      <c r="B33" s="3765"/>
      <c r="C33" s="3107" t="s">
        <v>2459</v>
      </c>
      <c r="D33" s="3108"/>
      <c r="E33" s="3109">
        <v>0.8</v>
      </c>
      <c r="F33" s="3106" t="s">
        <v>2460</v>
      </c>
      <c r="G33" s="3106"/>
    </row>
    <row r="34" spans="1:7" ht="19.5" customHeight="1">
      <c r="A34" s="3768"/>
      <c r="B34" s="3765"/>
      <c r="C34" s="3107" t="s">
        <v>2461</v>
      </c>
      <c r="D34" s="3108"/>
      <c r="E34" s="3109">
        <v>0.6</v>
      </c>
      <c r="F34" s="3106" t="s">
        <v>2462</v>
      </c>
      <c r="G34" s="3106"/>
    </row>
    <row r="35" spans="1:7" ht="19.5" customHeight="1">
      <c r="A35" s="3768"/>
      <c r="B35" s="3765"/>
      <c r="C35" s="3107" t="s">
        <v>2463</v>
      </c>
      <c r="D35" s="3108"/>
      <c r="E35" s="3109">
        <v>0.2</v>
      </c>
      <c r="F35" s="3106" t="s">
        <v>2464</v>
      </c>
      <c r="G35" s="3106"/>
    </row>
    <row r="36" spans="1:7" ht="19.5" customHeight="1">
      <c r="A36" s="3768"/>
      <c r="B36" s="3765"/>
      <c r="C36" s="3107" t="s">
        <v>2465</v>
      </c>
      <c r="D36" s="3108"/>
      <c r="E36" s="3109">
        <v>0.2</v>
      </c>
      <c r="F36" s="3106" t="s">
        <v>2466</v>
      </c>
      <c r="G36" s="3106"/>
    </row>
    <row r="37" spans="1:7" ht="19.5" customHeight="1">
      <c r="A37" s="3768"/>
      <c r="B37" s="3770" t="s">
        <v>2627</v>
      </c>
      <c r="C37" s="3107" t="s">
        <v>2467</v>
      </c>
      <c r="D37" s="3108"/>
      <c r="E37" s="3109">
        <v>0.6</v>
      </c>
      <c r="F37" s="3106" t="s">
        <v>2468</v>
      </c>
      <c r="G37" s="3106"/>
    </row>
    <row r="38" spans="1:7" ht="19.5" customHeight="1">
      <c r="A38" s="3768"/>
      <c r="B38" s="3765"/>
      <c r="C38" s="3107" t="s">
        <v>2469</v>
      </c>
      <c r="D38" s="3108"/>
      <c r="E38" s="3109">
        <v>0.6</v>
      </c>
      <c r="F38" s="3106" t="s">
        <v>2470</v>
      </c>
      <c r="G38" s="3106"/>
    </row>
    <row r="39" spans="1:7" ht="19.5" customHeight="1" thickBot="1">
      <c r="A39" s="3769"/>
      <c r="B39" s="3766"/>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771" t="s">
        <v>2605</v>
      </c>
      <c r="B41" s="3764" t="s">
        <v>2629</v>
      </c>
      <c r="C41" s="3103" t="s">
        <v>2474</v>
      </c>
      <c r="D41" s="3104"/>
      <c r="E41" s="3105">
        <v>1</v>
      </c>
      <c r="F41" s="3106" t="s">
        <v>2475</v>
      </c>
      <c r="G41" s="3106"/>
    </row>
    <row r="42" spans="1:7" ht="19.5" customHeight="1">
      <c r="A42" s="3772"/>
      <c r="B42" s="3765"/>
      <c r="C42" s="3107" t="s">
        <v>2476</v>
      </c>
      <c r="D42" s="3108"/>
      <c r="E42" s="3109">
        <v>1</v>
      </c>
      <c r="F42" s="3106" t="s">
        <v>2477</v>
      </c>
      <c r="G42" s="3106"/>
    </row>
    <row r="43" spans="1:7" ht="19.5" customHeight="1">
      <c r="A43" s="3772"/>
      <c r="B43" s="3774"/>
      <c r="C43" s="3107" t="s">
        <v>2478</v>
      </c>
      <c r="D43" s="3108"/>
      <c r="E43" s="3109">
        <v>1.5</v>
      </c>
      <c r="F43" s="3106" t="s">
        <v>2479</v>
      </c>
      <c r="G43" s="3106"/>
    </row>
    <row r="44" spans="1:7" ht="19.5" customHeight="1">
      <c r="A44" s="3772"/>
      <c r="B44" s="3118" t="s">
        <v>2630</v>
      </c>
      <c r="C44" s="3107" t="s">
        <v>2631</v>
      </c>
      <c r="D44" s="3108"/>
      <c r="E44" s="3109">
        <v>2</v>
      </c>
      <c r="F44" s="3106" t="s">
        <v>2480</v>
      </c>
      <c r="G44" s="3106"/>
    </row>
    <row r="45" spans="1:7" ht="19.5" customHeight="1">
      <c r="A45" s="3772"/>
      <c r="B45" s="3770" t="s">
        <v>2632</v>
      </c>
      <c r="C45" s="3107" t="s">
        <v>2481</v>
      </c>
      <c r="D45" s="3108"/>
      <c r="E45" s="3109">
        <v>1</v>
      </c>
      <c r="F45" s="3106" t="s">
        <v>2482</v>
      </c>
      <c r="G45" s="3106"/>
    </row>
    <row r="46" spans="1:7" ht="19.5" customHeight="1">
      <c r="A46" s="3772"/>
      <c r="B46" s="3765"/>
      <c r="C46" s="3107" t="s">
        <v>2483</v>
      </c>
      <c r="D46" s="3108"/>
      <c r="E46" s="3109">
        <v>1</v>
      </c>
      <c r="F46" s="3106" t="s">
        <v>2484</v>
      </c>
      <c r="G46" s="3106"/>
    </row>
    <row r="47" spans="1:7" ht="19.5" customHeight="1">
      <c r="A47" s="3772"/>
      <c r="B47" s="3765"/>
      <c r="C47" s="3107" t="s">
        <v>2485</v>
      </c>
      <c r="D47" s="3108"/>
      <c r="E47" s="3109">
        <v>1</v>
      </c>
      <c r="F47" s="3106" t="s">
        <v>2486</v>
      </c>
      <c r="G47" s="3106"/>
    </row>
    <row r="48" spans="1:7" ht="19.5" customHeight="1">
      <c r="A48" s="3772"/>
      <c r="B48" s="3765"/>
      <c r="C48" s="3107" t="s">
        <v>2487</v>
      </c>
      <c r="D48" s="3108"/>
      <c r="E48" s="3109">
        <v>1</v>
      </c>
      <c r="F48" s="3106" t="s">
        <v>2488</v>
      </c>
      <c r="G48" s="3106"/>
    </row>
    <row r="49" spans="1:7" ht="19.5" customHeight="1">
      <c r="A49" s="3772"/>
      <c r="B49" s="3765"/>
      <c r="C49" s="3107" t="s">
        <v>2489</v>
      </c>
      <c r="D49" s="3108"/>
      <c r="E49" s="3109">
        <v>1</v>
      </c>
      <c r="F49" s="3106" t="s">
        <v>2490</v>
      </c>
      <c r="G49" s="3106"/>
    </row>
    <row r="50" spans="1:7" ht="19.5" customHeight="1">
      <c r="A50" s="3772"/>
      <c r="B50" s="3765"/>
      <c r="C50" s="3107" t="s">
        <v>2491</v>
      </c>
      <c r="D50" s="3108"/>
      <c r="E50" s="3109">
        <v>1</v>
      </c>
      <c r="F50" s="3106" t="s">
        <v>2492</v>
      </c>
      <c r="G50" s="3106"/>
    </row>
    <row r="51" spans="1:7" ht="19.5" customHeight="1" thickBot="1">
      <c r="A51" s="3773"/>
      <c r="B51" s="3766"/>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70" t="s">
        <v>2646</v>
      </c>
      <c r="C73" s="3092" t="s">
        <v>2647</v>
      </c>
      <c r="D73" s="3092" t="s">
        <v>2648</v>
      </c>
      <c r="E73" s="3118">
        <v>0.2</v>
      </c>
      <c r="F73" s="3118">
        <v>25</v>
      </c>
    </row>
    <row r="74" spans="1:7" ht="24">
      <c r="A74" s="3118">
        <v>2</v>
      </c>
      <c r="B74" s="3765"/>
      <c r="C74" s="3092" t="s">
        <v>2649</v>
      </c>
      <c r="D74" s="3092" t="s">
        <v>2650</v>
      </c>
      <c r="E74" s="3118">
        <v>0.2</v>
      </c>
      <c r="F74" s="3118">
        <v>25</v>
      </c>
    </row>
    <row r="75" spans="1:7" ht="24">
      <c r="A75" s="3118">
        <v>3</v>
      </c>
      <c r="B75" s="3765"/>
      <c r="C75" s="3092" t="s">
        <v>2651</v>
      </c>
      <c r="D75" s="3092" t="s">
        <v>2652</v>
      </c>
      <c r="E75" s="3118">
        <v>0.2</v>
      </c>
      <c r="F75" s="3118">
        <v>25</v>
      </c>
    </row>
    <row r="76" spans="1:7" ht="13.5">
      <c r="A76" s="3118">
        <v>4</v>
      </c>
      <c r="B76" s="3765"/>
      <c r="C76" s="3092" t="s">
        <v>2653</v>
      </c>
      <c r="D76" s="3092" t="s">
        <v>2654</v>
      </c>
      <c r="E76" s="3118">
        <v>0.15</v>
      </c>
      <c r="F76" s="3118">
        <v>20</v>
      </c>
    </row>
    <row r="77" spans="1:7" ht="24">
      <c r="A77" s="3118">
        <v>5</v>
      </c>
      <c r="B77" s="3765"/>
      <c r="C77" s="3092" t="s">
        <v>2655</v>
      </c>
      <c r="D77" s="3092" t="s">
        <v>2656</v>
      </c>
      <c r="E77" s="3118">
        <v>0.15</v>
      </c>
      <c r="F77" s="3118">
        <v>20</v>
      </c>
    </row>
    <row r="78" spans="1:7" ht="24">
      <c r="A78" s="3118">
        <v>6</v>
      </c>
      <c r="B78" s="3765"/>
      <c r="C78" s="3092" t="s">
        <v>2657</v>
      </c>
      <c r="D78" s="3092" t="s">
        <v>2658</v>
      </c>
      <c r="E78" s="3118">
        <v>0.15</v>
      </c>
      <c r="F78" s="3118">
        <v>20</v>
      </c>
    </row>
    <row r="79" spans="1:7" ht="24">
      <c r="A79" s="3118">
        <v>7</v>
      </c>
      <c r="B79" s="3765"/>
      <c r="C79" s="3092" t="s">
        <v>2659</v>
      </c>
      <c r="D79" s="3092" t="s">
        <v>2660</v>
      </c>
      <c r="E79" s="3118">
        <v>0.15</v>
      </c>
      <c r="F79" s="3118">
        <v>20</v>
      </c>
    </row>
    <row r="80" spans="1:7" ht="24">
      <c r="A80" s="3118">
        <v>8</v>
      </c>
      <c r="B80" s="3765"/>
      <c r="C80" s="3092" t="s">
        <v>2661</v>
      </c>
      <c r="D80" s="3092" t="s">
        <v>2662</v>
      </c>
      <c r="E80" s="3118">
        <v>0.1</v>
      </c>
      <c r="F80" s="3118">
        <v>15</v>
      </c>
    </row>
    <row r="81" spans="1:6" ht="24">
      <c r="A81" s="3118">
        <v>9</v>
      </c>
      <c r="B81" s="3765"/>
      <c r="C81" s="3092" t="s">
        <v>2663</v>
      </c>
      <c r="D81" s="3092" t="s">
        <v>2664</v>
      </c>
      <c r="E81" s="3118">
        <v>0.1</v>
      </c>
      <c r="F81" s="3118">
        <v>15</v>
      </c>
    </row>
    <row r="82" spans="1:6" ht="24">
      <c r="A82" s="3118">
        <v>10</v>
      </c>
      <c r="B82" s="3765"/>
      <c r="C82" s="3092" t="s">
        <v>2665</v>
      </c>
      <c r="D82" s="3092" t="s">
        <v>2666</v>
      </c>
      <c r="E82" s="3118">
        <v>0.1</v>
      </c>
      <c r="F82" s="3118">
        <v>15</v>
      </c>
    </row>
    <row r="83" spans="1:6" ht="24">
      <c r="A83" s="3118">
        <v>11</v>
      </c>
      <c r="B83" s="3765"/>
      <c r="C83" s="3092" t="s">
        <v>2667</v>
      </c>
      <c r="D83" s="3092" t="s">
        <v>2668</v>
      </c>
      <c r="E83" s="3118">
        <v>0.1</v>
      </c>
      <c r="F83" s="3118">
        <v>15</v>
      </c>
    </row>
    <row r="84" spans="1:6" ht="24">
      <c r="A84" s="3118">
        <v>12</v>
      </c>
      <c r="B84" s="3765"/>
      <c r="C84" s="3092" t="s">
        <v>2669</v>
      </c>
      <c r="D84" s="3092" t="s">
        <v>2670</v>
      </c>
      <c r="E84" s="3118">
        <v>0.1</v>
      </c>
      <c r="F84" s="3118">
        <v>15</v>
      </c>
    </row>
    <row r="85" spans="1:6" ht="13.5">
      <c r="A85" s="3118">
        <v>13</v>
      </c>
      <c r="B85" s="3765"/>
      <c r="C85" s="3092" t="s">
        <v>2671</v>
      </c>
      <c r="D85" s="3092" t="s">
        <v>2672</v>
      </c>
      <c r="E85" s="3118">
        <v>0.1</v>
      </c>
      <c r="F85" s="3118">
        <v>15</v>
      </c>
    </row>
    <row r="86" spans="1:6" ht="13.5">
      <c r="A86" s="3118">
        <v>14</v>
      </c>
      <c r="B86" s="3765"/>
      <c r="C86" s="3092" t="s">
        <v>2673</v>
      </c>
      <c r="D86" s="3092" t="s">
        <v>2674</v>
      </c>
      <c r="E86" s="3118">
        <v>0.1</v>
      </c>
      <c r="F86" s="3118">
        <v>15</v>
      </c>
    </row>
    <row r="87" spans="1:6" ht="13.5">
      <c r="A87" s="3118">
        <v>15</v>
      </c>
      <c r="B87" s="3765"/>
      <c r="C87" s="3092" t="s">
        <v>2675</v>
      </c>
      <c r="D87" s="3092" t="s">
        <v>2676</v>
      </c>
      <c r="E87" s="3118">
        <v>0.1</v>
      </c>
      <c r="F87" s="3118">
        <v>15</v>
      </c>
    </row>
    <row r="88" spans="1:6" ht="24">
      <c r="A88" s="3118">
        <v>16</v>
      </c>
      <c r="B88" s="3765"/>
      <c r="C88" s="3092" t="s">
        <v>2677</v>
      </c>
      <c r="D88" s="3092" t="s">
        <v>2678</v>
      </c>
      <c r="E88" s="3118">
        <v>0.1</v>
      </c>
      <c r="F88" s="3118">
        <v>15</v>
      </c>
    </row>
    <row r="89" spans="1:6" ht="24">
      <c r="A89" s="3118">
        <v>17</v>
      </c>
      <c r="B89" s="3774"/>
      <c r="C89" s="3092" t="s">
        <v>2679</v>
      </c>
      <c r="D89" s="3092" t="s">
        <v>2680</v>
      </c>
      <c r="E89" s="3118">
        <v>0.1</v>
      </c>
      <c r="F89" s="3118">
        <v>15</v>
      </c>
    </row>
    <row r="90" spans="1:6" ht="13.5">
      <c r="A90" s="3118">
        <v>18</v>
      </c>
      <c r="B90" s="3770" t="s">
        <v>2681</v>
      </c>
      <c r="C90" s="3092" t="s">
        <v>2682</v>
      </c>
      <c r="D90" s="3092" t="s">
        <v>2683</v>
      </c>
      <c r="E90" s="3118">
        <v>0.2</v>
      </c>
      <c r="F90" s="3118">
        <v>25</v>
      </c>
    </row>
    <row r="91" spans="1:6" ht="24">
      <c r="A91" s="3118">
        <v>19</v>
      </c>
      <c r="B91" s="3765"/>
      <c r="C91" s="3092" t="s">
        <v>2684</v>
      </c>
      <c r="D91" s="3092" t="s">
        <v>2685</v>
      </c>
      <c r="E91" s="3118">
        <v>0.2</v>
      </c>
      <c r="F91" s="3118">
        <v>25</v>
      </c>
    </row>
    <row r="92" spans="1:6" ht="13.5">
      <c r="A92" s="3118">
        <v>20</v>
      </c>
      <c r="B92" s="3765"/>
      <c r="C92" s="3092" t="s">
        <v>2686</v>
      </c>
      <c r="D92" s="3092" t="s">
        <v>2687</v>
      </c>
      <c r="E92" s="3118">
        <v>0.15</v>
      </c>
      <c r="F92" s="3118">
        <v>20</v>
      </c>
    </row>
    <row r="93" spans="1:6" ht="13.5">
      <c r="A93" s="3118">
        <v>21</v>
      </c>
      <c r="B93" s="3765"/>
      <c r="C93" s="3092" t="s">
        <v>2688</v>
      </c>
      <c r="D93" s="3092" t="s">
        <v>2689</v>
      </c>
      <c r="E93" s="3118">
        <v>0.15</v>
      </c>
      <c r="F93" s="3118">
        <v>20</v>
      </c>
    </row>
    <row r="94" spans="1:6" ht="13.5">
      <c r="A94" s="3118">
        <v>22</v>
      </c>
      <c r="B94" s="3765"/>
      <c r="C94" s="3092" t="s">
        <v>2690</v>
      </c>
      <c r="D94" s="3092" t="s">
        <v>2691</v>
      </c>
      <c r="E94" s="3118">
        <v>0.15</v>
      </c>
      <c r="F94" s="3118">
        <v>20</v>
      </c>
    </row>
    <row r="95" spans="1:6" ht="36">
      <c r="A95" s="3118">
        <v>23</v>
      </c>
      <c r="B95" s="3765"/>
      <c r="C95" s="3092" t="s">
        <v>2692</v>
      </c>
      <c r="D95" s="3092" t="s">
        <v>2693</v>
      </c>
      <c r="E95" s="3118">
        <v>0.15</v>
      </c>
      <c r="F95" s="3118">
        <v>20</v>
      </c>
    </row>
    <row r="96" spans="1:6" ht="13.5">
      <c r="A96" s="3118">
        <v>24</v>
      </c>
      <c r="B96" s="3765"/>
      <c r="C96" s="3092" t="s">
        <v>2694</v>
      </c>
      <c r="D96" s="3092" t="s">
        <v>2695</v>
      </c>
      <c r="E96" s="3118">
        <v>0.1</v>
      </c>
      <c r="F96" s="3118">
        <v>15</v>
      </c>
    </row>
    <row r="97" spans="1:6" ht="13.5">
      <c r="A97" s="3118">
        <v>25</v>
      </c>
      <c r="B97" s="3765"/>
      <c r="C97" s="3092" t="s">
        <v>2696</v>
      </c>
      <c r="D97" s="3092" t="s">
        <v>2697</v>
      </c>
      <c r="E97" s="3118">
        <v>0.1</v>
      </c>
      <c r="F97" s="3118">
        <v>15</v>
      </c>
    </row>
    <row r="98" spans="1:6" ht="24">
      <c r="A98" s="3118">
        <v>26</v>
      </c>
      <c r="B98" s="3765"/>
      <c r="C98" s="3092" t="s">
        <v>2698</v>
      </c>
      <c r="D98" s="3092" t="s">
        <v>2699</v>
      </c>
      <c r="E98" s="3118">
        <v>0.1</v>
      </c>
      <c r="F98" s="3118">
        <v>15</v>
      </c>
    </row>
    <row r="99" spans="1:6" ht="24">
      <c r="A99" s="3118">
        <v>27</v>
      </c>
      <c r="B99" s="3765"/>
      <c r="C99" s="3092" t="s">
        <v>2700</v>
      </c>
      <c r="D99" s="3092" t="s">
        <v>2701</v>
      </c>
      <c r="E99" s="3118">
        <v>0.1</v>
      </c>
      <c r="F99" s="3118">
        <v>15</v>
      </c>
    </row>
    <row r="100" spans="1:6" ht="13.5">
      <c r="A100" s="3118">
        <v>28</v>
      </c>
      <c r="B100" s="3765"/>
      <c r="C100" s="3092" t="s">
        <v>2702</v>
      </c>
      <c r="D100" s="3092" t="s">
        <v>2703</v>
      </c>
      <c r="E100" s="3118">
        <v>0.1</v>
      </c>
      <c r="F100" s="3118">
        <v>15</v>
      </c>
    </row>
    <row r="101" spans="1:6" ht="13.5">
      <c r="A101" s="3118">
        <v>29</v>
      </c>
      <c r="B101" s="3765"/>
      <c r="C101" s="3092" t="s">
        <v>2704</v>
      </c>
      <c r="D101" s="3092" t="s">
        <v>2705</v>
      </c>
      <c r="E101" s="3118">
        <v>0.1</v>
      </c>
      <c r="F101" s="3118">
        <v>15</v>
      </c>
    </row>
    <row r="102" spans="1:6" ht="13.5">
      <c r="A102" s="3118">
        <v>30</v>
      </c>
      <c r="B102" s="3765"/>
      <c r="C102" s="3092" t="s">
        <v>2706</v>
      </c>
      <c r="D102" s="3092" t="s">
        <v>2707</v>
      </c>
      <c r="E102" s="3118">
        <v>0.1</v>
      </c>
      <c r="F102" s="3118">
        <v>15</v>
      </c>
    </row>
    <row r="103" spans="1:6" ht="24">
      <c r="A103" s="3118">
        <v>31</v>
      </c>
      <c r="B103" s="3765"/>
      <c r="C103" s="3092" t="s">
        <v>2708</v>
      </c>
      <c r="D103" s="3092" t="s">
        <v>2709</v>
      </c>
      <c r="E103" s="3118">
        <v>0.1</v>
      </c>
      <c r="F103" s="3118">
        <v>15</v>
      </c>
    </row>
    <row r="104" spans="1:6" ht="24">
      <c r="A104" s="3118">
        <v>32</v>
      </c>
      <c r="B104" s="3765"/>
      <c r="C104" s="3092" t="s">
        <v>2710</v>
      </c>
      <c r="D104" s="3092" t="s">
        <v>2711</v>
      </c>
      <c r="E104" s="3118">
        <v>0.1</v>
      </c>
      <c r="F104" s="3118">
        <v>15</v>
      </c>
    </row>
    <row r="105" spans="1:6" ht="24">
      <c r="A105" s="3118">
        <v>33</v>
      </c>
      <c r="B105" s="3765"/>
      <c r="C105" s="3092" t="s">
        <v>2712</v>
      </c>
      <c r="D105" s="3092" t="s">
        <v>2713</v>
      </c>
      <c r="E105" s="3118">
        <v>0.1</v>
      </c>
      <c r="F105" s="3118">
        <v>15</v>
      </c>
    </row>
    <row r="106" spans="1:6" ht="24">
      <c r="A106" s="3118">
        <v>34</v>
      </c>
      <c r="B106" s="3774"/>
      <c r="C106" s="3092" t="s">
        <v>2714</v>
      </c>
      <c r="D106" s="3092" t="s">
        <v>2715</v>
      </c>
      <c r="E106" s="3118">
        <v>0.1</v>
      </c>
      <c r="F106" s="3118">
        <v>15</v>
      </c>
    </row>
    <row r="107" spans="1:6" ht="24">
      <c r="A107" s="3118">
        <v>35</v>
      </c>
      <c r="B107" s="3770" t="s">
        <v>2716</v>
      </c>
      <c r="C107" s="3118" t="s">
        <v>2717</v>
      </c>
      <c r="D107" s="3092" t="s">
        <v>2718</v>
      </c>
      <c r="E107" s="3118">
        <v>0.15</v>
      </c>
      <c r="F107" s="3118">
        <v>20</v>
      </c>
    </row>
    <row r="108" spans="1:6" ht="13.5">
      <c r="A108" s="3118">
        <v>36</v>
      </c>
      <c r="B108" s="3765"/>
      <c r="C108" s="3118" t="s">
        <v>2719</v>
      </c>
      <c r="D108" s="3092" t="s">
        <v>2720</v>
      </c>
      <c r="E108" s="3118">
        <v>0.15</v>
      </c>
      <c r="F108" s="3118">
        <v>20</v>
      </c>
    </row>
    <row r="109" spans="1:6" ht="13.5">
      <c r="A109" s="3118">
        <v>37</v>
      </c>
      <c r="B109" s="3765"/>
      <c r="C109" s="3118" t="s">
        <v>2721</v>
      </c>
      <c r="D109" s="3092" t="s">
        <v>2722</v>
      </c>
      <c r="E109" s="3118">
        <v>0.15</v>
      </c>
      <c r="F109" s="3118">
        <v>20</v>
      </c>
    </row>
    <row r="110" spans="1:6" ht="13.5">
      <c r="A110" s="3118">
        <v>38</v>
      </c>
      <c r="B110" s="3765"/>
      <c r="C110" s="3118" t="s">
        <v>2723</v>
      </c>
      <c r="D110" s="3092" t="s">
        <v>2724</v>
      </c>
      <c r="E110" s="3118">
        <v>0.1</v>
      </c>
      <c r="F110" s="3118">
        <v>15</v>
      </c>
    </row>
    <row r="111" spans="1:6" ht="24">
      <c r="A111" s="3118">
        <v>39</v>
      </c>
      <c r="B111" s="3765"/>
      <c r="C111" s="3118" t="s">
        <v>2725</v>
      </c>
      <c r="D111" s="3092" t="s">
        <v>2726</v>
      </c>
      <c r="E111" s="3118">
        <v>0.1</v>
      </c>
      <c r="F111" s="3118">
        <v>15</v>
      </c>
    </row>
    <row r="112" spans="1:6" ht="24">
      <c r="A112" s="3118">
        <v>40</v>
      </c>
      <c r="B112" s="3774"/>
      <c r="C112" s="3118" t="s">
        <v>2727</v>
      </c>
      <c r="D112" s="3092" t="s">
        <v>2728</v>
      </c>
      <c r="E112" s="3118">
        <v>0.1</v>
      </c>
      <c r="F112" s="3118">
        <v>15</v>
      </c>
    </row>
    <row r="113" spans="1:6" ht="13.5">
      <c r="A113" s="3118">
        <v>41</v>
      </c>
      <c r="B113" s="3775" t="s">
        <v>2729</v>
      </c>
      <c r="C113" s="3118" t="s">
        <v>2730</v>
      </c>
      <c r="D113" s="3092" t="s">
        <v>2731</v>
      </c>
      <c r="E113" s="3118">
        <v>0.1</v>
      </c>
      <c r="F113" s="3118">
        <v>15</v>
      </c>
    </row>
    <row r="114" spans="1:6" ht="13.5">
      <c r="A114" s="3118">
        <v>42</v>
      </c>
      <c r="B114" s="3775"/>
      <c r="C114" s="3118" t="s">
        <v>2732</v>
      </c>
      <c r="D114" s="3092" t="s">
        <v>2733</v>
      </c>
      <c r="E114" s="3118">
        <v>0.1</v>
      </c>
      <c r="F114" s="3118">
        <v>15</v>
      </c>
    </row>
    <row r="115" spans="1:6" ht="24">
      <c r="A115" s="3118">
        <v>43</v>
      </c>
      <c r="B115" s="3775"/>
      <c r="C115" s="3118" t="s">
        <v>2734</v>
      </c>
      <c r="D115" s="3092" t="s">
        <v>2735</v>
      </c>
      <c r="E115" s="3118">
        <v>0.1</v>
      </c>
      <c r="F115" s="3118">
        <v>15</v>
      </c>
    </row>
    <row r="116" spans="1:6" ht="13.5">
      <c r="A116" s="3118">
        <v>44</v>
      </c>
      <c r="B116" s="3770" t="s">
        <v>2736</v>
      </c>
      <c r="C116" s="3118" t="s">
        <v>2737</v>
      </c>
      <c r="D116" s="3092" t="s">
        <v>2738</v>
      </c>
      <c r="E116" s="3118">
        <v>0.1</v>
      </c>
      <c r="F116" s="3118">
        <v>15</v>
      </c>
    </row>
    <row r="117" spans="1:6" ht="24">
      <c r="A117" s="3118">
        <v>45</v>
      </c>
      <c r="B117" s="3774"/>
      <c r="C117" s="3092" t="s">
        <v>2739</v>
      </c>
      <c r="D117" s="3092" t="s">
        <v>2740</v>
      </c>
      <c r="E117" s="3118">
        <v>0.1</v>
      </c>
      <c r="F117" s="3118">
        <v>15</v>
      </c>
    </row>
    <row r="118" spans="1:6" ht="24">
      <c r="A118" s="3118">
        <v>46</v>
      </c>
      <c r="B118" s="3770" t="s">
        <v>2741</v>
      </c>
      <c r="C118" s="3118" t="s">
        <v>2742</v>
      </c>
      <c r="D118" s="3092" t="s">
        <v>2743</v>
      </c>
      <c r="E118" s="3118">
        <v>0.1</v>
      </c>
      <c r="F118" s="3118">
        <v>15</v>
      </c>
    </row>
    <row r="119" spans="1:6" ht="24">
      <c r="A119" s="3118">
        <v>47</v>
      </c>
      <c r="B119" s="3774"/>
      <c r="C119" s="3118" t="s">
        <v>2744</v>
      </c>
      <c r="D119" s="3092" t="s">
        <v>2745</v>
      </c>
      <c r="E119" s="3118">
        <v>0.1</v>
      </c>
      <c r="F119" s="3118">
        <v>15</v>
      </c>
    </row>
    <row r="120" spans="1:6" ht="13.5">
      <c r="A120" s="3118">
        <v>48</v>
      </c>
      <c r="B120" s="3770" t="s">
        <v>2746</v>
      </c>
      <c r="C120" s="3118" t="s">
        <v>2747</v>
      </c>
      <c r="D120" s="3092" t="s">
        <v>2748</v>
      </c>
      <c r="E120" s="3118">
        <v>0.1</v>
      </c>
      <c r="F120" s="3118">
        <v>15</v>
      </c>
    </row>
    <row r="121" spans="1:6" ht="13.5">
      <c r="A121" s="3118">
        <v>49</v>
      </c>
      <c r="B121" s="3774"/>
      <c r="C121" s="3118" t="s">
        <v>2749</v>
      </c>
      <c r="D121" s="3092" t="s">
        <v>2750</v>
      </c>
      <c r="E121" s="3118">
        <v>0.1</v>
      </c>
      <c r="F121" s="3118">
        <v>15</v>
      </c>
    </row>
    <row r="122" spans="1:6" ht="24">
      <c r="A122" s="3118">
        <v>50</v>
      </c>
      <c r="B122" s="3775" t="s">
        <v>2751</v>
      </c>
      <c r="C122" s="3118" t="s">
        <v>2752</v>
      </c>
      <c r="D122" s="3092" t="s">
        <v>2753</v>
      </c>
      <c r="E122" s="3118">
        <v>0.1</v>
      </c>
      <c r="F122" s="3118">
        <v>15</v>
      </c>
    </row>
    <row r="123" spans="1:6" ht="24">
      <c r="A123" s="3118">
        <v>51</v>
      </c>
      <c r="B123" s="3775"/>
      <c r="C123" s="3118" t="s">
        <v>2754</v>
      </c>
      <c r="D123" s="3092" t="s">
        <v>2755</v>
      </c>
      <c r="E123" s="3118">
        <v>0.1</v>
      </c>
      <c r="F123" s="3118">
        <v>15</v>
      </c>
    </row>
    <row r="124" spans="1:6" ht="24">
      <c r="A124" s="3118">
        <v>52</v>
      </c>
      <c r="B124" s="3775" t="s">
        <v>2756</v>
      </c>
      <c r="C124" s="3118" t="s">
        <v>2757</v>
      </c>
      <c r="D124" s="3092" t="s">
        <v>2758</v>
      </c>
      <c r="E124" s="3118">
        <v>0.1</v>
      </c>
      <c r="F124" s="3118">
        <v>15</v>
      </c>
    </row>
    <row r="125" spans="1:6" ht="24">
      <c r="A125" s="3118">
        <v>53</v>
      </c>
      <c r="B125" s="3775"/>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75" t="s">
        <v>2764</v>
      </c>
      <c r="C127" s="3118" t="s">
        <v>2765</v>
      </c>
      <c r="D127" s="3092" t="s">
        <v>2766</v>
      </c>
      <c r="E127" s="3118">
        <v>0.1</v>
      </c>
      <c r="F127" s="3118">
        <v>15</v>
      </c>
    </row>
    <row r="128" spans="1:6" ht="13.5">
      <c r="A128" s="3118">
        <v>56</v>
      </c>
      <c r="B128" s="3775"/>
      <c r="C128" s="3118" t="s">
        <v>2767</v>
      </c>
      <c r="D128" s="3092" t="s">
        <v>2768</v>
      </c>
      <c r="E128" s="3118">
        <v>0.1</v>
      </c>
      <c r="F128" s="3118">
        <v>15</v>
      </c>
    </row>
    <row r="129" spans="1:6" ht="24">
      <c r="A129" s="3118">
        <v>57</v>
      </c>
      <c r="B129" s="3775"/>
      <c r="C129" s="3118" t="s">
        <v>2769</v>
      </c>
      <c r="D129" s="3092" t="s">
        <v>2770</v>
      </c>
      <c r="E129" s="3118">
        <v>0.1</v>
      </c>
      <c r="F129" s="3118">
        <v>15</v>
      </c>
    </row>
    <row r="130" spans="1:6" ht="24">
      <c r="A130" s="3118">
        <v>58</v>
      </c>
      <c r="B130" s="3775" t="s">
        <v>2771</v>
      </c>
      <c r="C130" s="3118" t="s">
        <v>2772</v>
      </c>
      <c r="D130" s="3092" t="s">
        <v>2773</v>
      </c>
      <c r="E130" s="3118">
        <v>0.1</v>
      </c>
      <c r="F130" s="3118">
        <v>15</v>
      </c>
    </row>
    <row r="131" spans="1:6" ht="13.5">
      <c r="A131" s="3118">
        <v>59</v>
      </c>
      <c r="B131" s="3775"/>
      <c r="C131" s="3118" t="s">
        <v>2774</v>
      </c>
      <c r="D131" s="3092" t="s">
        <v>2775</v>
      </c>
      <c r="E131" s="3118">
        <v>0.1</v>
      </c>
      <c r="F131" s="3118">
        <v>15</v>
      </c>
    </row>
    <row r="132" spans="1:6" ht="13.5">
      <c r="A132" s="3118">
        <v>60</v>
      </c>
      <c r="B132" s="3770" t="s">
        <v>2776</v>
      </c>
      <c r="C132" s="3118" t="s">
        <v>2777</v>
      </c>
      <c r="D132" s="3092" t="s">
        <v>2778</v>
      </c>
      <c r="E132" s="3118">
        <v>0.1</v>
      </c>
      <c r="F132" s="3118">
        <v>15</v>
      </c>
    </row>
    <row r="133" spans="1:6" ht="13.5">
      <c r="A133" s="3118">
        <v>61</v>
      </c>
      <c r="B133" s="3774"/>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75" t="s">
        <v>2784</v>
      </c>
      <c r="C135" s="3118" t="s">
        <v>2785</v>
      </c>
      <c r="D135" s="3092" t="s">
        <v>2786</v>
      </c>
      <c r="E135" s="3118">
        <v>0.1</v>
      </c>
      <c r="F135" s="3118">
        <v>15</v>
      </c>
    </row>
    <row r="136" spans="1:6" ht="13.5">
      <c r="A136" s="3118">
        <v>64</v>
      </c>
      <c r="B136" s="3775"/>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1.2302</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1.1198999999999999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24795</v>
      </c>
      <c r="C2" s="2" t="s">
        <v>106</v>
      </c>
      <c r="D2" s="199"/>
      <c r="E2" s="199"/>
      <c r="F2" s="199"/>
      <c r="G2" s="199"/>
    </row>
    <row r="3" spans="1:7" s="200" customFormat="1" ht="18" customHeight="1" thickBot="1">
      <c r="A3" s="203" t="s">
        <v>58</v>
      </c>
      <c r="B3" s="204">
        <f ca="1">ROUND(B2*10000/'数据-汇总表'!E3,0)</f>
        <v>214620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22</v>
      </c>
      <c r="D10" s="845">
        <f>'数据-汇总表'!E6</f>
        <v>1155.3</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1155.3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173</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1155.3</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2.9999999999999997E-4</v>
      </c>
      <c r="D44" s="238"/>
      <c r="E44" s="238"/>
      <c r="F44" s="239"/>
      <c r="G44" s="3640"/>
    </row>
    <row r="45" spans="1:7" s="214" customFormat="1" ht="13.5" customHeight="1">
      <c r="A45" s="777" t="s">
        <v>341</v>
      </c>
      <c r="B45" s="244" t="s">
        <v>85</v>
      </c>
      <c r="C45" s="245">
        <f>C46</f>
        <v>10</v>
      </c>
      <c r="D45" s="235">
        <f>C47</f>
        <v>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240</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163</v>
      </c>
      <c r="D51" s="232"/>
      <c r="E51" s="232"/>
      <c r="F51" s="264"/>
      <c r="G51" s="234" t="s">
        <v>37</v>
      </c>
    </row>
    <row r="52" spans="1:7" s="208" customFormat="1" ht="16.5" thickBot="1">
      <c r="A52" s="265" t="s">
        <v>38</v>
      </c>
      <c r="B52" s="266"/>
      <c r="C52" s="267">
        <f ca="1">C31+C51</f>
        <v>24795</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695</v>
      </c>
      <c r="E5" s="1491"/>
    </row>
    <row r="6" spans="1:5" ht="15.75">
      <c r="A6" s="1491"/>
      <c r="B6" s="3457"/>
      <c r="C6" s="1494" t="s">
        <v>911</v>
      </c>
      <c r="D6" s="850" t="str">
        <f ca="1">NUMBERSTRING(INT(D5*10000),2)&amp;"元整"</f>
        <v>陆佰玖拾伍万元整</v>
      </c>
      <c r="E6" s="1491"/>
    </row>
    <row r="7" spans="1:5" ht="15.75">
      <c r="A7" s="1491"/>
      <c r="B7" s="3462"/>
      <c r="C7" s="1495" t="s">
        <v>912</v>
      </c>
      <c r="D7" s="851">
        <f ca="1">结果表!H102</f>
        <v>6016</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695</v>
      </c>
      <c r="E13" s="1491"/>
    </row>
    <row r="14" spans="1:5" ht="15.75">
      <c r="A14" s="1491"/>
      <c r="B14" s="3457"/>
      <c r="C14" s="1494" t="s">
        <v>911</v>
      </c>
      <c r="D14" s="850" t="str">
        <f ca="1">NUMBERSTRING(INT(D13*10000),2)&amp;"元整"</f>
        <v>陆佰玖拾伍万元整</v>
      </c>
      <c r="E14" s="1491"/>
    </row>
    <row r="15" spans="1:5" ht="15">
      <c r="A15" s="1491"/>
      <c r="B15" s="3462"/>
      <c r="C15" s="1495" t="s">
        <v>921</v>
      </c>
      <c r="D15" s="859">
        <f ca="1">结果表!H108</f>
        <v>6016</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2836</v>
      </c>
      <c r="B1" s="3778"/>
      <c r="C1" s="3778"/>
      <c r="D1" s="3778"/>
      <c r="E1" s="3778"/>
      <c r="F1" s="3778"/>
      <c r="G1" s="3779"/>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2"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776" t="s">
        <v>2863</v>
      </c>
      <c r="B3" s="3230"/>
      <c r="C3" s="3231" t="s">
        <v>2806</v>
      </c>
      <c r="D3" s="3231" t="s">
        <v>2864</v>
      </c>
      <c r="E3" s="3231" t="s">
        <v>2808</v>
      </c>
      <c r="F3" s="3231" t="s">
        <v>2865</v>
      </c>
      <c r="G3" s="3231" t="s">
        <v>2626</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2" thickBot="1">
      <c r="A4" s="3777"/>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2"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2"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2"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2"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3178</v>
      </c>
      <c r="B1" s="3780"/>
    </row>
    <row r="2" spans="1:7" ht="14.25" thickBot="1">
      <c r="A2" s="3255"/>
      <c r="B2" s="3255"/>
    </row>
    <row r="3" spans="1:7" ht="14.25" thickBot="1">
      <c r="A3" s="3255"/>
      <c r="B3" s="3255"/>
      <c r="C3" s="3256" t="s">
        <v>2806</v>
      </c>
      <c r="D3" s="3256" t="s">
        <v>2864</v>
      </c>
      <c r="E3" s="3256" t="s">
        <v>2808</v>
      </c>
      <c r="F3" s="3256" t="s">
        <v>2865</v>
      </c>
      <c r="G3" s="3256" t="s">
        <v>2626</v>
      </c>
    </row>
    <row r="4" spans="1:7" ht="14.2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4.2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4.2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4.2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4.2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4.2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4.2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4.2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4.2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4.2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4.2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3229</v>
      </c>
      <c r="B1" s="3781"/>
      <c r="C1" s="3781"/>
      <c r="D1" s="3781"/>
      <c r="E1" s="3781"/>
      <c r="F1" s="3782"/>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45187</v>
      </c>
      <c r="B1" s="3210" t="s">
        <v>2835</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3366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3370</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3369</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3367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2816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2817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2818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2819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3363</v>
      </c>
    </row>
    <row r="19" spans="1:30" s="3009" customFormat="1">
      <c r="I19" s="3208" t="s">
        <v>2820</v>
      </c>
    </row>
    <row r="20" spans="1:30" s="3009" customFormat="1"/>
    <row r="21" spans="1:30" s="3209" customFormat="1" ht="12.75">
      <c r="B21" s="3210" t="s">
        <v>2821</v>
      </c>
      <c r="C21" s="3211"/>
      <c r="D21" s="3211"/>
      <c r="E21" s="3211"/>
      <c r="F21" s="3211"/>
      <c r="G21" s="3211"/>
      <c r="H21" s="3211"/>
      <c r="I21" s="3211"/>
      <c r="J21" s="3165"/>
      <c r="K21" s="3211" t="s">
        <v>2822</v>
      </c>
      <c r="L21" s="3211"/>
      <c r="M21" s="3211"/>
      <c r="N21" s="3211"/>
      <c r="O21" s="3211"/>
      <c r="P21" s="3211"/>
      <c r="Q21" s="3165"/>
      <c r="R21" s="3783" t="s">
        <v>2823</v>
      </c>
      <c r="S21" s="3784"/>
      <c r="T21" s="3784"/>
      <c r="U21" s="3784"/>
      <c r="V21" s="3784"/>
      <c r="W21" s="3784"/>
      <c r="X21" s="3165"/>
      <c r="Y21" s="3783" t="s">
        <v>2824</v>
      </c>
      <c r="Z21" s="3784"/>
      <c r="AA21" s="3784"/>
      <c r="AB21" s="3784"/>
      <c r="AC21" s="3784"/>
      <c r="AD21" s="3784"/>
    </row>
    <row r="22" spans="1:30" s="3143" customFormat="1" ht="14.25" thickBot="1">
      <c r="B22" s="3144"/>
      <c r="C22" s="3145"/>
      <c r="D22" s="3146" t="s">
        <v>2825</v>
      </c>
      <c r="E22" s="3147" t="s">
        <v>2826</v>
      </c>
      <c r="F22" s="3147" t="s">
        <v>2827</v>
      </c>
      <c r="G22" s="3147" t="s">
        <v>2828</v>
      </c>
      <c r="H22" s="3147"/>
      <c r="I22" s="3147" t="s">
        <v>2829</v>
      </c>
      <c r="J22" s="3148"/>
      <c r="K22" s="3146" t="s">
        <v>2825</v>
      </c>
      <c r="L22" s="3147" t="s">
        <v>2826</v>
      </c>
      <c r="M22" s="3147" t="s">
        <v>2827</v>
      </c>
      <c r="N22" s="3147" t="s">
        <v>2828</v>
      </c>
      <c r="O22" s="3147"/>
      <c r="P22" s="3147" t="s">
        <v>2829</v>
      </c>
      <c r="Q22" s="3148"/>
      <c r="R22" s="3146" t="s">
        <v>2825</v>
      </c>
      <c r="S22" s="3147" t="s">
        <v>2826</v>
      </c>
      <c r="T22" s="3147" t="s">
        <v>2827</v>
      </c>
      <c r="U22" s="3147" t="s">
        <v>2828</v>
      </c>
      <c r="V22" s="3147"/>
      <c r="W22" s="3147" t="s">
        <v>2829</v>
      </c>
      <c r="X22" s="3148"/>
      <c r="Y22" s="3146" t="s">
        <v>2825</v>
      </c>
      <c r="Z22" s="3147" t="s">
        <v>2826</v>
      </c>
      <c r="AA22" s="3147" t="s">
        <v>2827</v>
      </c>
      <c r="AB22" s="3147" t="s">
        <v>2828</v>
      </c>
      <c r="AC22" s="3147"/>
      <c r="AD22" s="3147" t="s">
        <v>2829</v>
      </c>
    </row>
    <row r="23" spans="1:30" s="3161" customFormat="1" ht="12.75">
      <c r="A23" s="3149" t="s">
        <v>2830</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3366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3368</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3369</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3367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2819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7" sqref="T27"/>
    </sheetView>
  </sheetViews>
  <sheetFormatPr defaultRowHeight="13.5"/>
  <sheetData>
    <row r="1" spans="1:1">
      <c r="A1" t="s">
        <v>3391</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7"/>
  <sheetViews>
    <sheetView topLeftCell="A37" workbookViewId="0">
      <selection activeCell="A57" sqref="A57"/>
    </sheetView>
  </sheetViews>
  <sheetFormatPr defaultRowHeight="13.5"/>
  <sheetData>
    <row r="1" spans="1:1">
      <c r="A1" s="3453" t="s">
        <v>3413</v>
      </c>
    </row>
    <row r="29" spans="1:1">
      <c r="A29" t="s">
        <v>3414</v>
      </c>
    </row>
    <row r="57" spans="1:1">
      <c r="A57" t="s">
        <v>3415</v>
      </c>
    </row>
  </sheetData>
  <phoneticPr fontId="134" type="noConversion"/>
  <hyperlinks>
    <hyperlink ref="A1" display="https://bj.58.com/fangchan/54898341845907x.shtml?utm_source=market&amp;spm=u-2d2yxv86y3v43nkddh1.BDPCPZ_BT&amp;prd=Y95n5Ujmqcy3%2FaJ1lSKO3Q%3D%3D&amp;houseId=3104946071937025&amp;gpos=136&amp;positionType=commoninfo&amp;cocoTestType=coco_area_expand_test&amp;legoCocoTestType=coco_ar"/>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1155.3</v>
      </c>
      <c r="C4" s="854">
        <f>项目基本情况!C18</f>
        <v>6667.9</v>
      </c>
      <c r="D4" s="854">
        <f ca="1">结果表!D118</f>
        <v>457</v>
      </c>
      <c r="E4" s="854">
        <f ca="1">结果表!E118</f>
        <v>3956</v>
      </c>
      <c r="F4" s="854">
        <f ca="1">结果表!F118</f>
        <v>238</v>
      </c>
      <c r="G4" s="854">
        <f ca="1">结果表!G118</f>
        <v>2060</v>
      </c>
      <c r="H4" s="854">
        <f ca="1">结果表!H118</f>
        <v>695</v>
      </c>
      <c r="I4" s="854">
        <f ca="1">结果表!I118</f>
        <v>6016</v>
      </c>
    </row>
    <row r="5" spans="1:9" ht="30" customHeight="1">
      <c r="A5" s="3468" t="s">
        <v>927</v>
      </c>
      <c r="B5" s="3468"/>
      <c r="C5" s="3468"/>
      <c r="D5" s="3468" t="str">
        <f ca="1">结果表!D119</f>
        <v>肆佰伍拾柒万元整</v>
      </c>
      <c r="E5" s="3468"/>
      <c r="F5" s="3468" t="str">
        <f ca="1">结果表!F119</f>
        <v>贰佰叁拾捌万元整</v>
      </c>
      <c r="G5" s="3468"/>
      <c r="H5" s="3468" t="str">
        <f ca="1">结果表!H119</f>
        <v>陆佰玖拾伍万元整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695</v>
      </c>
      <c r="E8" s="3469"/>
      <c r="F8" s="3469"/>
      <c r="G8" s="3469"/>
      <c r="H8" s="3469"/>
      <c r="I8" s="3469"/>
    </row>
    <row r="9" spans="1:9" ht="15">
      <c r="A9" s="3468" t="s">
        <v>927</v>
      </c>
      <c r="B9" s="3468"/>
      <c r="C9" s="3468"/>
      <c r="D9" s="3468" t="str">
        <f ca="1">结果表!D123</f>
        <v>陆佰玖拾伍万元整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2023-09-20T02:09:13Z</dcterms:modified>
</cp:coreProperties>
</file>