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报告们\咨询报告\海三十离三套房\"/>
    </mc:Choice>
  </mc:AlternateContent>
  <bookViews>
    <workbookView xWindow="0" yWindow="0" windowWidth="20556" windowHeight="13620" tabRatio="787" activeTab="11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</workbook>
</file>

<file path=xl/calcChain.xml><?xml version="1.0" encoding="utf-8"?>
<calcChain xmlns="http://schemas.openxmlformats.org/spreadsheetml/2006/main">
  <c r="C7" i="63" l="1"/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P22" i="67"/>
  <c r="E22" i="67" s="1"/>
  <c r="U22" i="67" s="1"/>
  <c r="O22" i="67"/>
  <c r="C22" i="67" s="1"/>
  <c r="N22" i="67"/>
  <c r="B22" i="67" s="1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O26" i="67"/>
  <c r="C26" i="67" s="1"/>
  <c r="C25" i="67" s="1"/>
  <c r="P26" i="67"/>
  <c r="E26" i="67" s="1"/>
  <c r="Q26" i="67"/>
  <c r="F26" i="67" s="1"/>
  <c r="F25" i="67" s="1"/>
  <c r="F24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B85" i="67" s="1"/>
  <c r="B84" i="67" s="1"/>
  <c r="F85" i="67"/>
  <c r="F84" i="67" s="1"/>
  <c r="F82" i="67"/>
  <c r="E82" i="67"/>
  <c r="C82" i="67"/>
  <c r="B82" i="67"/>
  <c r="B81" i="67" s="1"/>
  <c r="B80" i="67" s="1"/>
  <c r="F81" i="67"/>
  <c r="F80" i="67" s="1"/>
  <c r="E81" i="67"/>
  <c r="E80" i="67" s="1"/>
  <c r="Q78" i="67"/>
  <c r="P78" i="67"/>
  <c r="O78" i="67"/>
  <c r="N78" i="67"/>
  <c r="F78" i="67"/>
  <c r="V78" i="67" s="1"/>
  <c r="E78" i="67"/>
  <c r="E77" i="67" s="1"/>
  <c r="E76" i="67" s="1"/>
  <c r="C78" i="67"/>
  <c r="T78" i="67" s="1"/>
  <c r="B78" i="67"/>
  <c r="Q77" i="67"/>
  <c r="P77" i="67"/>
  <c r="O77" i="67"/>
  <c r="N77" i="67"/>
  <c r="F77" i="67"/>
  <c r="F76" i="67" s="1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E74" i="67"/>
  <c r="U74" i="67" s="1"/>
  <c r="C74" i="67"/>
  <c r="T74" i="67" s="1"/>
  <c r="B74" i="67"/>
  <c r="S74" i="67" s="1"/>
  <c r="Q73" i="67"/>
  <c r="P73" i="67"/>
  <c r="O73" i="67"/>
  <c r="N73" i="67"/>
  <c r="B73" i="67"/>
  <c r="B72" i="67" s="1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V70" i="67" s="1"/>
  <c r="E70" i="67"/>
  <c r="C70" i="67"/>
  <c r="D70" i="67" s="1"/>
  <c r="B70" i="67"/>
  <c r="Q69" i="67"/>
  <c r="P69" i="67"/>
  <c r="O69" i="67"/>
  <c r="N69" i="67"/>
  <c r="F69" i="67"/>
  <c r="F68" i="67" s="1"/>
  <c r="Q68" i="67"/>
  <c r="P68" i="67"/>
  <c r="O68" i="67"/>
  <c r="N68" i="67"/>
  <c r="Q67" i="67"/>
  <c r="P67" i="67"/>
  <c r="O67" i="67"/>
  <c r="N67" i="67"/>
  <c r="F66" i="67"/>
  <c r="V66" i="67" s="1"/>
  <c r="E66" i="67"/>
  <c r="C66" i="67"/>
  <c r="O66" i="67" s="1"/>
  <c r="B66" i="67"/>
  <c r="S66" i="67" s="1"/>
  <c r="F65" i="67"/>
  <c r="E65" i="67"/>
  <c r="P65" i="67" s="1"/>
  <c r="C65" i="67"/>
  <c r="O65" i="67" s="1"/>
  <c r="B65" i="67"/>
  <c r="N65" i="67" s="1"/>
  <c r="B64" i="67"/>
  <c r="N64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/>
  <c r="F61" i="67" s="1"/>
  <c r="F62" i="67" s="1"/>
  <c r="V62" i="67" s="1"/>
  <c r="P59" i="67"/>
  <c r="E60" i="67" s="1"/>
  <c r="O59" i="67"/>
  <c r="C60" i="67" s="1"/>
  <c r="N59" i="67"/>
  <c r="B60" i="67" s="1"/>
  <c r="B61" i="67" s="1"/>
  <c r="B62" i="67" s="1"/>
  <c r="S62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F57" i="67" s="1"/>
  <c r="F58" i="67" s="1"/>
  <c r="V58" i="67" s="1"/>
  <c r="P55" i="67"/>
  <c r="E56" i="67" s="1"/>
  <c r="O55" i="67"/>
  <c r="C56" i="67" s="1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 s="1"/>
  <c r="F53" i="67" s="1"/>
  <c r="F54" i="67" s="1"/>
  <c r="V54" i="67" s="1"/>
  <c r="P51" i="67"/>
  <c r="E52" i="67" s="1"/>
  <c r="O51" i="67"/>
  <c r="C52" i="67" s="1"/>
  <c r="N51" i="67"/>
  <c r="B52" i="67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 s="1"/>
  <c r="F49" i="67" s="1"/>
  <c r="F50" i="67" s="1"/>
  <c r="V50" i="67" s="1"/>
  <c r="P47" i="67"/>
  <c r="E48" i="67" s="1"/>
  <c r="O47" i="67"/>
  <c r="C48" i="67" s="1"/>
  <c r="N47" i="67"/>
  <c r="B48" i="67" s="1"/>
  <c r="B49" i="67" s="1"/>
  <c r="B50" i="67" s="1"/>
  <c r="S50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 s="1"/>
  <c r="O43" i="67"/>
  <c r="C44" i="67" s="1"/>
  <c r="N43" i="67"/>
  <c r="B44" i="67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O39" i="67"/>
  <c r="C40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D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/>
  <c r="F33" i="67" s="1"/>
  <c r="F34" i="67" s="1"/>
  <c r="V34" i="67" s="1"/>
  <c r="P31" i="67"/>
  <c r="E32" i="67" s="1"/>
  <c r="O31" i="67"/>
  <c r="C32" i="67" s="1"/>
  <c r="N31" i="67"/>
  <c r="B32" i="67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D28" i="67" s="1"/>
  <c r="N27" i="67"/>
  <c r="B28" i="67"/>
  <c r="B29" i="67" s="1"/>
  <c r="B30" i="67" s="1"/>
  <c r="S30" i="67" s="1"/>
  <c r="N66" i="67"/>
  <c r="Q66" i="67"/>
  <c r="Y63" i="66"/>
  <c r="Y62" i="66" s="1"/>
  <c r="T62" i="66" s="1"/>
  <c r="B62" i="66" s="1"/>
  <c r="A70" i="66"/>
  <c r="H6" i="59"/>
  <c r="O1" i="66"/>
  <c r="J1" i="66"/>
  <c r="G2" i="66" s="1"/>
  <c r="N20" i="43" s="1"/>
  <c r="B9" i="66"/>
  <c r="C9" i="66"/>
  <c r="D9" i="66" s="1"/>
  <c r="E9" i="66"/>
  <c r="F9" i="66"/>
  <c r="B10" i="66"/>
  <c r="C10" i="66"/>
  <c r="D10" i="66" s="1"/>
  <c r="E10" i="66"/>
  <c r="F10" i="66"/>
  <c r="B11" i="66"/>
  <c r="C11" i="66"/>
  <c r="D11" i="66" s="1"/>
  <c r="E11" i="66"/>
  <c r="F11" i="66"/>
  <c r="B12" i="66"/>
  <c r="C12" i="66"/>
  <c r="D12" i="66" s="1"/>
  <c r="E12" i="66"/>
  <c r="F12" i="66"/>
  <c r="B13" i="66"/>
  <c r="C13" i="66"/>
  <c r="E13" i="66"/>
  <c r="F13" i="66"/>
  <c r="B14" i="66"/>
  <c r="C14" i="66"/>
  <c r="H14" i="66" s="1"/>
  <c r="E14" i="66"/>
  <c r="F14" i="66"/>
  <c r="B15" i="66"/>
  <c r="C15" i="66"/>
  <c r="H15" i="66" s="1"/>
  <c r="E15" i="66"/>
  <c r="F15" i="66"/>
  <c r="B16" i="66"/>
  <c r="C16" i="66"/>
  <c r="D16" i="66" s="1"/>
  <c r="E16" i="66"/>
  <c r="F16" i="66"/>
  <c r="B17" i="66"/>
  <c r="C17" i="66"/>
  <c r="H17" i="66" s="1"/>
  <c r="E17" i="66"/>
  <c r="F17" i="66"/>
  <c r="B18" i="66"/>
  <c r="C18" i="66"/>
  <c r="H18" i="66" s="1"/>
  <c r="E18" i="66"/>
  <c r="F18" i="66"/>
  <c r="K18" i="66" s="1"/>
  <c r="B19" i="66"/>
  <c r="C19" i="66"/>
  <c r="D19" i="66" s="1"/>
  <c r="E19" i="66"/>
  <c r="F19" i="66"/>
  <c r="B20" i="66"/>
  <c r="C20" i="66"/>
  <c r="E20" i="66"/>
  <c r="F20" i="66"/>
  <c r="B21" i="66"/>
  <c r="C21" i="66"/>
  <c r="E21" i="66"/>
  <c r="F21" i="66"/>
  <c r="B22" i="66"/>
  <c r="C22" i="66"/>
  <c r="D22" i="66" s="1"/>
  <c r="E22" i="66"/>
  <c r="F22" i="66"/>
  <c r="B23" i="66"/>
  <c r="C23" i="66"/>
  <c r="D23" i="66" s="1"/>
  <c r="E23" i="66"/>
  <c r="F23" i="66"/>
  <c r="B24" i="66"/>
  <c r="C24" i="66"/>
  <c r="E24" i="66"/>
  <c r="F24" i="66"/>
  <c r="B25" i="66"/>
  <c r="C25" i="66"/>
  <c r="E25" i="66"/>
  <c r="F25" i="66"/>
  <c r="B26" i="66"/>
  <c r="C26" i="66"/>
  <c r="D26" i="66" s="1"/>
  <c r="E26" i="66"/>
  <c r="F26" i="66"/>
  <c r="B27" i="66"/>
  <c r="C27" i="66"/>
  <c r="D27" i="66" s="1"/>
  <c r="E27" i="66"/>
  <c r="F27" i="66"/>
  <c r="B28" i="66"/>
  <c r="C28" i="66"/>
  <c r="D28" i="66" s="1"/>
  <c r="E28" i="66"/>
  <c r="F28" i="66"/>
  <c r="B29" i="66"/>
  <c r="C29" i="66"/>
  <c r="E29" i="66"/>
  <c r="F29" i="66"/>
  <c r="B30" i="66"/>
  <c r="C30" i="66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D39" i="66" s="1"/>
  <c r="E39" i="66"/>
  <c r="F39" i="66"/>
  <c r="B40" i="66"/>
  <c r="C40" i="66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D49" i="66" s="1"/>
  <c r="E49" i="66"/>
  <c r="F49" i="66"/>
  <c r="B50" i="66"/>
  <c r="C50" i="66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J6" i="66" s="1"/>
  <c r="C8" i="66"/>
  <c r="H7" i="66" s="1"/>
  <c r="B8" i="66"/>
  <c r="Z67" i="66"/>
  <c r="AA67" i="66"/>
  <c r="AB67" i="66"/>
  <c r="W67" i="66"/>
  <c r="F67" i="66" s="1"/>
  <c r="Y67" i="66"/>
  <c r="AB63" i="66"/>
  <c r="W63" i="66"/>
  <c r="F63" i="66"/>
  <c r="AA63" i="66"/>
  <c r="AA62" i="66" s="1"/>
  <c r="AA61" i="66" s="1"/>
  <c r="Z63" i="66"/>
  <c r="Z62" i="66" s="1"/>
  <c r="U63" i="66"/>
  <c r="C63" i="66"/>
  <c r="Y61" i="66"/>
  <c r="T61" i="66" s="1"/>
  <c r="B61" i="66" s="1"/>
  <c r="D25" i="66"/>
  <c r="D24" i="66"/>
  <c r="D21" i="66"/>
  <c r="D20" i="66"/>
  <c r="D17" i="66"/>
  <c r="D13" i="66"/>
  <c r="K15" i="66"/>
  <c r="K13" i="66"/>
  <c r="H13" i="66"/>
  <c r="H9" i="66"/>
  <c r="D54" i="66"/>
  <c r="D50" i="66"/>
  <c r="D44" i="66"/>
  <c r="D40" i="66"/>
  <c r="D33" i="66"/>
  <c r="D29" i="66"/>
  <c r="J13" i="66"/>
  <c r="J2" i="66"/>
  <c r="N23" i="43" s="1"/>
  <c r="J8" i="66"/>
  <c r="U62" i="66"/>
  <c r="C62" i="66" s="1"/>
  <c r="D62" i="66" s="1"/>
  <c r="T63" i="66"/>
  <c r="B63" i="66" s="1"/>
  <c r="AB62" i="66"/>
  <c r="T60" i="66"/>
  <c r="B60" i="66" s="1"/>
  <c r="V62" i="66"/>
  <c r="E62" i="66" s="1"/>
  <c r="V63" i="66"/>
  <c r="E63" i="66" s="1"/>
  <c r="AB66" i="66"/>
  <c r="AB65" i="66" s="1"/>
  <c r="G32" i="59"/>
  <c r="G31" i="59"/>
  <c r="G30" i="59"/>
  <c r="O2" i="59"/>
  <c r="O3" i="59" s="1"/>
  <c r="P33" i="59"/>
  <c r="Q33" i="59"/>
  <c r="R33" i="59"/>
  <c r="O33" i="59"/>
  <c r="H21" i="59"/>
  <c r="Z61" i="66"/>
  <c r="U61" i="66" s="1"/>
  <c r="C61" i="66" s="1"/>
  <c r="C18" i="64"/>
  <c r="G13" i="9"/>
  <c r="C13" i="9"/>
  <c r="C11" i="9"/>
  <c r="G10" i="9"/>
  <c r="G9" i="9"/>
  <c r="G8" i="9"/>
  <c r="I22" i="59"/>
  <c r="A48" i="39"/>
  <c r="P48" i="39" s="1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D17" i="64"/>
  <c r="D30" i="64"/>
  <c r="G11" i="9"/>
  <c r="F7" i="9"/>
  <c r="F6" i="9"/>
  <c r="C63" i="39"/>
  <c r="C9" i="3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/>
  <c r="B19" i="62"/>
  <c r="B82" i="62" s="1"/>
  <c r="B20" i="62"/>
  <c r="B83" i="62" s="1"/>
  <c r="B21" i="62"/>
  <c r="B84" i="62" s="1"/>
  <c r="B22" i="62"/>
  <c r="B85" i="62"/>
  <c r="B23" i="62"/>
  <c r="B86" i="62" s="1"/>
  <c r="B24" i="62"/>
  <c r="B87" i="62" s="1"/>
  <c r="B17" i="62"/>
  <c r="B80" i="62" s="1"/>
  <c r="T11" i="62"/>
  <c r="K74" i="62"/>
  <c r="T12" i="62"/>
  <c r="K75" i="62" s="1"/>
  <c r="T13" i="62"/>
  <c r="K76" i="62" s="1"/>
  <c r="T14" i="62"/>
  <c r="K77" i="62" s="1"/>
  <c r="T15" i="62"/>
  <c r="K78" i="62"/>
  <c r="T16" i="62"/>
  <c r="K79" i="62" s="1"/>
  <c r="T10" i="62"/>
  <c r="K73" i="62" s="1"/>
  <c r="N16" i="62"/>
  <c r="H79" i="62" s="1"/>
  <c r="N15" i="62"/>
  <c r="H78" i="62"/>
  <c r="N14" i="62"/>
  <c r="H77" i="62" s="1"/>
  <c r="N13" i="62"/>
  <c r="H76" i="62" s="1"/>
  <c r="N12" i="62"/>
  <c r="H75" i="62" s="1"/>
  <c r="N11" i="62"/>
  <c r="H74" i="62"/>
  <c r="N10" i="62"/>
  <c r="H73" i="62" s="1"/>
  <c r="F16" i="62"/>
  <c r="D79" i="62" s="1"/>
  <c r="F15" i="62"/>
  <c r="D78" i="62" s="1"/>
  <c r="F14" i="62"/>
  <c r="D77" i="62"/>
  <c r="F13" i="62"/>
  <c r="D76" i="62" s="1"/>
  <c r="F12" i="62"/>
  <c r="D75" i="62" s="1"/>
  <c r="F11" i="62"/>
  <c r="D74" i="62" s="1"/>
  <c r="F10" i="62"/>
  <c r="D73" i="62"/>
  <c r="D11" i="62"/>
  <c r="C74" i="62" s="1"/>
  <c r="D12" i="62"/>
  <c r="C75" i="62" s="1"/>
  <c r="D13" i="62"/>
  <c r="C76" i="62" s="1"/>
  <c r="D14" i="62"/>
  <c r="C77" i="62"/>
  <c r="D15" i="62"/>
  <c r="C78" i="62" s="1"/>
  <c r="D16" i="62"/>
  <c r="C79" i="62" s="1"/>
  <c r="D10" i="62"/>
  <c r="C73" i="62" s="1"/>
  <c r="H16" i="62"/>
  <c r="E79" i="62"/>
  <c r="H15" i="62"/>
  <c r="E78" i="62" s="1"/>
  <c r="H14" i="62"/>
  <c r="E77" i="62" s="1"/>
  <c r="H13" i="62"/>
  <c r="E76" i="62" s="1"/>
  <c r="H12" i="62"/>
  <c r="E75" i="62"/>
  <c r="H11" i="62"/>
  <c r="E74" i="62" s="1"/>
  <c r="H10" i="62"/>
  <c r="E73" i="62" s="1"/>
  <c r="B11" i="62"/>
  <c r="B74" i="62" s="1"/>
  <c r="B12" i="62"/>
  <c r="B75" i="62"/>
  <c r="B13" i="62"/>
  <c r="B76" i="62" s="1"/>
  <c r="B14" i="62"/>
  <c r="B77" i="62" s="1"/>
  <c r="B15" i="62"/>
  <c r="B78" i="62" s="1"/>
  <c r="B16" i="62"/>
  <c r="B79" i="62"/>
  <c r="B10" i="62"/>
  <c r="B73" i="62" s="1"/>
  <c r="T4" i="62"/>
  <c r="K67" i="62" s="1"/>
  <c r="T5" i="62"/>
  <c r="K68" i="62" s="1"/>
  <c r="T6" i="62"/>
  <c r="K69" i="62"/>
  <c r="T7" i="62"/>
  <c r="K70" i="62" s="1"/>
  <c r="T8" i="62"/>
  <c r="K71" i="62" s="1"/>
  <c r="T9" i="62"/>
  <c r="K72" i="62" s="1"/>
  <c r="T3" i="62"/>
  <c r="K66" i="62"/>
  <c r="N8" i="62"/>
  <c r="H71" i="62" s="1"/>
  <c r="N9" i="62"/>
  <c r="H72" i="62" s="1"/>
  <c r="N5" i="62"/>
  <c r="H68" i="62" s="1"/>
  <c r="N6" i="62"/>
  <c r="H69" i="62"/>
  <c r="N7" i="62"/>
  <c r="H70" i="62" s="1"/>
  <c r="N4" i="62"/>
  <c r="H67" i="62" s="1"/>
  <c r="N3" i="62"/>
  <c r="H66" i="62" s="1"/>
  <c r="J4" i="62"/>
  <c r="F67" i="62"/>
  <c r="J5" i="62"/>
  <c r="F68" i="62" s="1"/>
  <c r="J6" i="62"/>
  <c r="F69" i="62" s="1"/>
  <c r="J7" i="62"/>
  <c r="F70" i="62" s="1"/>
  <c r="J8" i="62"/>
  <c r="F71" i="62"/>
  <c r="J9" i="62"/>
  <c r="F72" i="62" s="1"/>
  <c r="J3" i="62"/>
  <c r="F66" i="62" s="1"/>
  <c r="H4" i="62"/>
  <c r="E67" i="62" s="1"/>
  <c r="H5" i="62"/>
  <c r="E68" i="62"/>
  <c r="H6" i="62"/>
  <c r="E69" i="62" s="1"/>
  <c r="H7" i="62"/>
  <c r="E70" i="62" s="1"/>
  <c r="H8" i="62"/>
  <c r="E71" i="62" s="1"/>
  <c r="H9" i="62"/>
  <c r="E72" i="62"/>
  <c r="H3" i="62"/>
  <c r="E66" i="62" s="1"/>
  <c r="F4" i="62"/>
  <c r="D67" i="62" s="1"/>
  <c r="F5" i="62"/>
  <c r="D68" i="62" s="1"/>
  <c r="F6" i="62"/>
  <c r="D69" i="62"/>
  <c r="F7" i="62"/>
  <c r="D70" i="62" s="1"/>
  <c r="F8" i="62"/>
  <c r="D71" i="62" s="1"/>
  <c r="F9" i="62"/>
  <c r="D72" i="62" s="1"/>
  <c r="F3" i="62"/>
  <c r="D66" i="62"/>
  <c r="D4" i="62"/>
  <c r="C67" i="62" s="1"/>
  <c r="D5" i="62"/>
  <c r="C68" i="62" s="1"/>
  <c r="D6" i="62"/>
  <c r="C69" i="62" s="1"/>
  <c r="D7" i="62"/>
  <c r="C70" i="62"/>
  <c r="D8" i="62"/>
  <c r="C71" i="62" s="1"/>
  <c r="D9" i="62"/>
  <c r="C72" i="62" s="1"/>
  <c r="D3" i="62"/>
  <c r="C66" i="62" s="1"/>
  <c r="B4" i="62"/>
  <c r="B67" i="62"/>
  <c r="B5" i="62"/>
  <c r="B68" i="62" s="1"/>
  <c r="B6" i="62"/>
  <c r="B69" i="62" s="1"/>
  <c r="B7" i="62"/>
  <c r="B70" i="62" s="1"/>
  <c r="B8" i="62"/>
  <c r="B71" i="62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H10" i="63" s="1"/>
  <c r="F9" i="63"/>
  <c r="E2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L1" i="60" s="1"/>
  <c r="H1" i="63"/>
  <c r="D20" i="63" s="1"/>
  <c r="D18" i="63"/>
  <c r="D43" i="63"/>
  <c r="D42" i="63"/>
  <c r="F54" i="63"/>
  <c r="G54" i="63" s="1"/>
  <c r="D60" i="63"/>
  <c r="D66" i="63"/>
  <c r="D64" i="63"/>
  <c r="D62" i="63"/>
  <c r="D70" i="63"/>
  <c r="D72" i="63"/>
  <c r="D74" i="63"/>
  <c r="D65" i="63"/>
  <c r="D61" i="63"/>
  <c r="F75" i="63"/>
  <c r="G75" i="63" s="1"/>
  <c r="D75" i="63"/>
  <c r="D73" i="63"/>
  <c r="D71" i="63"/>
  <c r="D53" i="63"/>
  <c r="D51" i="63"/>
  <c r="I2" i="43"/>
  <c r="M5" i="43" s="1"/>
  <c r="D1" i="43"/>
  <c r="G2" i="43"/>
  <c r="O17" i="43" s="1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G29" i="59"/>
  <c r="F13" i="59"/>
  <c r="F19" i="59" s="1"/>
  <c r="F10" i="9" s="1"/>
  <c r="B8" i="59"/>
  <c r="G3" i="43" s="1"/>
  <c r="I102" i="43" s="1"/>
  <c r="F16" i="59"/>
  <c r="F8" i="9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B2" i="64"/>
  <c r="N100" i="43"/>
  <c r="N101" i="43" s="1"/>
  <c r="N109" i="43"/>
  <c r="M100" i="43"/>
  <c r="M109" i="43" s="1"/>
  <c r="L100" i="43"/>
  <c r="L101" i="43" s="1"/>
  <c r="K100" i="43"/>
  <c r="J100" i="43"/>
  <c r="J109" i="43" s="1"/>
  <c r="I100" i="43"/>
  <c r="I109" i="43" s="1"/>
  <c r="H100" i="43"/>
  <c r="H101" i="43" s="1"/>
  <c r="H109" i="43"/>
  <c r="G100" i="43"/>
  <c r="G109" i="43" s="1"/>
  <c r="F100" i="43"/>
  <c r="F109" i="43" s="1"/>
  <c r="E100" i="43"/>
  <c r="E109" i="43" s="1"/>
  <c r="D100" i="43"/>
  <c r="D109" i="43"/>
  <c r="C100" i="43"/>
  <c r="C109" i="43" s="1"/>
  <c r="D101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/>
  <c r="K87" i="43"/>
  <c r="J87" i="43" s="1"/>
  <c r="M86" i="43"/>
  <c r="N86" i="43" s="1"/>
  <c r="K86" i="43"/>
  <c r="J86" i="43" s="1"/>
  <c r="M85" i="43"/>
  <c r="N85" i="43" s="1"/>
  <c r="K85" i="43"/>
  <c r="J85" i="43" s="1"/>
  <c r="M84" i="43"/>
  <c r="N84" i="43"/>
  <c r="K84" i="43"/>
  <c r="J84" i="43" s="1"/>
  <c r="M83" i="43"/>
  <c r="N83" i="43" s="1"/>
  <c r="K83" i="43"/>
  <c r="J83" i="43" s="1"/>
  <c r="M82" i="43"/>
  <c r="N82" i="43" s="1"/>
  <c r="K82" i="43"/>
  <c r="J82" i="43" s="1"/>
  <c r="M81" i="43"/>
  <c r="N81" i="43"/>
  <c r="K81" i="43"/>
  <c r="J81" i="43" s="1"/>
  <c r="M78" i="43"/>
  <c r="N78" i="43" s="1"/>
  <c r="K78" i="43"/>
  <c r="J78" i="43" s="1"/>
  <c r="M77" i="43"/>
  <c r="N77" i="43" s="1"/>
  <c r="K77" i="43"/>
  <c r="J77" i="43" s="1"/>
  <c r="M76" i="43"/>
  <c r="N76" i="43" s="1"/>
  <c r="K76" i="43"/>
  <c r="J76" i="43" s="1"/>
  <c r="M75" i="43"/>
  <c r="N75" i="43" s="1"/>
  <c r="K75" i="43"/>
  <c r="J75" i="43" s="1"/>
  <c r="D75" i="43" s="1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D71" i="43" s="1"/>
  <c r="M70" i="43"/>
  <c r="N70" i="43" s="1"/>
  <c r="K70" i="43"/>
  <c r="J70" i="43" s="1"/>
  <c r="M67" i="43"/>
  <c r="N67" i="43" s="1"/>
  <c r="K67" i="43"/>
  <c r="J67" i="43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/>
  <c r="D64" i="43"/>
  <c r="M63" i="43"/>
  <c r="N63" i="43" s="1"/>
  <c r="K63" i="43"/>
  <c r="J63" i="43" s="1"/>
  <c r="D63" i="43"/>
  <c r="M62" i="43"/>
  <c r="N62" i="43" s="1"/>
  <c r="K62" i="43"/>
  <c r="J62" i="43" s="1"/>
  <c r="D62" i="43"/>
  <c r="M61" i="43"/>
  <c r="N61" i="43" s="1"/>
  <c r="K61" i="43"/>
  <c r="J61" i="43" s="1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/>
  <c r="K56" i="43"/>
  <c r="J56" i="43" s="1"/>
  <c r="D56" i="43"/>
  <c r="M55" i="43"/>
  <c r="N55" i="43" s="1"/>
  <c r="K55" i="43"/>
  <c r="J55" i="43" s="1"/>
  <c r="D55" i="43"/>
  <c r="M54" i="43"/>
  <c r="N54" i="43" s="1"/>
  <c r="K54" i="43"/>
  <c r="J54" i="43"/>
  <c r="M53" i="43"/>
  <c r="N53" i="43" s="1"/>
  <c r="K53" i="43"/>
  <c r="J53" i="43" s="1"/>
  <c r="D53" i="43"/>
  <c r="E48" i="43" s="1"/>
  <c r="B46" i="43" s="1"/>
  <c r="M52" i="43"/>
  <c r="N52" i="43" s="1"/>
  <c r="K52" i="43"/>
  <c r="J52" i="43" s="1"/>
  <c r="D52" i="43"/>
  <c r="M51" i="43"/>
  <c r="N51" i="43" s="1"/>
  <c r="K51" i="43"/>
  <c r="J51" i="43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/>
  <c r="D66" i="43"/>
  <c r="D65" i="43"/>
  <c r="D67" i="43"/>
  <c r="D74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H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AB45" i="39" s="1"/>
  <c r="B117" i="39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J23" i="39" s="1"/>
  <c r="AC23" i="39" s="1"/>
  <c r="D83" i="39"/>
  <c r="E83" i="39" s="1"/>
  <c r="H21" i="39" s="1"/>
  <c r="D81" i="39"/>
  <c r="E81" i="39" s="1"/>
  <c r="F81" i="39" s="1"/>
  <c r="G81" i="39" s="1"/>
  <c r="D79" i="39"/>
  <c r="E79" i="39" s="1"/>
  <c r="D77" i="39"/>
  <c r="E77" i="39" s="1"/>
  <c r="H15" i="39" s="1"/>
  <c r="B74" i="39"/>
  <c r="F14" i="39" s="1"/>
  <c r="AA14" i="39" s="1"/>
  <c r="B72" i="39"/>
  <c r="J13" i="39" s="1"/>
  <c r="B70" i="39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B88" i="43"/>
  <c r="B85" i="43"/>
  <c r="C21" i="39"/>
  <c r="F45" i="39"/>
  <c r="F36" i="39"/>
  <c r="S36" i="39" s="1"/>
  <c r="J36" i="39"/>
  <c r="F42" i="39"/>
  <c r="AA42" i="39" s="1"/>
  <c r="F41" i="39"/>
  <c r="AA41" i="39" s="1"/>
  <c r="H39" i="39"/>
  <c r="U39" i="39" s="1"/>
  <c r="H34" i="39"/>
  <c r="AB34" i="39" s="1"/>
  <c r="H42" i="39"/>
  <c r="AB42" i="39" s="1"/>
  <c r="J34" i="39"/>
  <c r="AC34" i="39"/>
  <c r="C25" i="39"/>
  <c r="F43" i="39"/>
  <c r="AA43" i="39" s="1"/>
  <c r="H14" i="39"/>
  <c r="J41" i="39"/>
  <c r="W41" i="39" s="1"/>
  <c r="J42" i="39"/>
  <c r="AC42" i="39" s="1"/>
  <c r="H37" i="39"/>
  <c r="AB37" i="39" s="1"/>
  <c r="K17" i="43"/>
  <c r="F34" i="43"/>
  <c r="F39" i="43"/>
  <c r="F37" i="43"/>
  <c r="H7" i="44"/>
  <c r="F35" i="43"/>
  <c r="J17" i="43"/>
  <c r="I17" i="43"/>
  <c r="F36" i="43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M10" i="43"/>
  <c r="D50" i="43"/>
  <c r="F101" i="43"/>
  <c r="D54" i="43"/>
  <c r="J101" i="43"/>
  <c r="G101" i="43"/>
  <c r="F23" i="39"/>
  <c r="AA23" i="39" s="1"/>
  <c r="AB36" i="39"/>
  <c r="U36" i="39"/>
  <c r="M101" i="43"/>
  <c r="I101" i="43"/>
  <c r="S42" i="39"/>
  <c r="W39" i="39"/>
  <c r="S38" i="39"/>
  <c r="AB39" i="39"/>
  <c r="J40" i="39"/>
  <c r="W40" i="39" s="1"/>
  <c r="F77" i="39"/>
  <c r="G77" i="39" s="1"/>
  <c r="F15" i="39"/>
  <c r="S15" i="39" s="1"/>
  <c r="J15" i="39"/>
  <c r="W15" i="39" s="1"/>
  <c r="F37" i="39"/>
  <c r="S37" i="39" s="1"/>
  <c r="H41" i="39"/>
  <c r="U41" i="39" s="1"/>
  <c r="J45" i="39"/>
  <c r="H23" i="39"/>
  <c r="U23" i="39" s="1"/>
  <c r="F85" i="39"/>
  <c r="G85" i="39" s="1"/>
  <c r="J17" i="39"/>
  <c r="W17" i="39" s="1"/>
  <c r="F83" i="39"/>
  <c r="G83" i="39" s="1"/>
  <c r="J21" i="39"/>
  <c r="AC21" i="39" s="1"/>
  <c r="F21" i="39"/>
  <c r="AA21" i="39" s="1"/>
  <c r="J32" i="39"/>
  <c r="AC32" i="39" s="1"/>
  <c r="W34" i="39"/>
  <c r="U10" i="39"/>
  <c r="S10" i="39"/>
  <c r="M12" i="43"/>
  <c r="M6" i="43"/>
  <c r="W10" i="39"/>
  <c r="AC10" i="39"/>
  <c r="U42" i="39"/>
  <c r="AA15" i="39"/>
  <c r="AA37" i="39"/>
  <c r="B2" i="39"/>
  <c r="E21" i="67"/>
  <c r="E20" i="67" s="1"/>
  <c r="E19" i="67" s="1"/>
  <c r="E18" i="67" s="1"/>
  <c r="I2" i="66"/>
  <c r="N22" i="43" s="1"/>
  <c r="H2" i="66"/>
  <c r="N21" i="43" s="1"/>
  <c r="K2" i="66"/>
  <c r="N24" i="43" s="1"/>
  <c r="N5" i="43"/>
  <c r="N9" i="43"/>
  <c r="N1" i="43"/>
  <c r="N10" i="43"/>
  <c r="H8" i="44"/>
  <c r="C17" i="43"/>
  <c r="F114" i="43"/>
  <c r="H5" i="44"/>
  <c r="A12" i="43"/>
  <c r="F59" i="43"/>
  <c r="H65" i="43" s="1"/>
  <c r="J2" i="65"/>
  <c r="J7" i="39"/>
  <c r="AC7" i="39" s="1"/>
  <c r="V47" i="39" s="1"/>
  <c r="I47" i="39" s="1"/>
  <c r="H16" i="63"/>
  <c r="I3" i="63"/>
  <c r="H4" i="65"/>
  <c r="G5" i="65"/>
  <c r="E5" i="65"/>
  <c r="G7" i="65"/>
  <c r="H5" i="65"/>
  <c r="G6" i="65"/>
  <c r="H7" i="65"/>
  <c r="H8" i="65"/>
  <c r="H6" i="65"/>
  <c r="G8" i="65"/>
  <c r="N8" i="43" l="1"/>
  <c r="N4" i="43"/>
  <c r="M3" i="43"/>
  <c r="H9" i="44"/>
  <c r="N7" i="43"/>
  <c r="N12" i="43"/>
  <c r="U35" i="39"/>
  <c r="AB35" i="39"/>
  <c r="U26" i="67"/>
  <c r="E25" i="67"/>
  <c r="E24" i="67" s="1"/>
  <c r="J43" i="63"/>
  <c r="I43" i="63" s="1"/>
  <c r="J73" i="63"/>
  <c r="I73" i="63" s="1"/>
  <c r="F74" i="63"/>
  <c r="G74" i="63" s="1"/>
  <c r="AB41" i="39"/>
  <c r="S43" i="39"/>
  <c r="AC37" i="39"/>
  <c r="S34" i="39"/>
  <c r="AA36" i="39"/>
  <c r="U34" i="39"/>
  <c r="F13" i="39"/>
  <c r="AA13" i="39" s="1"/>
  <c r="D70" i="43"/>
  <c r="L109" i="43"/>
  <c r="F71" i="63"/>
  <c r="G71" i="63" s="1"/>
  <c r="F64" i="63"/>
  <c r="G64" i="63" s="1"/>
  <c r="U60" i="66"/>
  <c r="C60" i="66" s="1"/>
  <c r="D60" i="66" s="1"/>
  <c r="H10" i="66"/>
  <c r="H16" i="66"/>
  <c r="D14" i="66"/>
  <c r="I9" i="66" s="1"/>
  <c r="D18" i="66"/>
  <c r="I18" i="66" s="1"/>
  <c r="E45" i="67"/>
  <c r="E46" i="67" s="1"/>
  <c r="U46" i="67" s="1"/>
  <c r="E73" i="67"/>
  <c r="E72" i="67" s="1"/>
  <c r="C6" i="68"/>
  <c r="J19" i="39"/>
  <c r="AC19" i="39" s="1"/>
  <c r="H5" i="66"/>
  <c r="H11" i="66"/>
  <c r="D15" i="66"/>
  <c r="D8" i="66"/>
  <c r="I6" i="66" s="1"/>
  <c r="B57" i="67"/>
  <c r="B58" i="67" s="1"/>
  <c r="S58" i="67" s="1"/>
  <c r="U45" i="39"/>
  <c r="AB23" i="39"/>
  <c r="S23" i="39"/>
  <c r="H19" i="39"/>
  <c r="U38" i="39"/>
  <c r="E101" i="43"/>
  <c r="H43" i="39"/>
  <c r="D77" i="43"/>
  <c r="F48" i="63"/>
  <c r="G48" i="63" s="1"/>
  <c r="D19" i="63"/>
  <c r="H12" i="66"/>
  <c r="E20" i="64"/>
  <c r="F57" i="63"/>
  <c r="G57" i="63" s="1"/>
  <c r="E22" i="43"/>
  <c r="U21" i="39"/>
  <c r="AB21" i="39"/>
  <c r="J63" i="63"/>
  <c r="I63" i="63" s="1"/>
  <c r="D63" i="63" s="1"/>
  <c r="E60" i="63" s="1"/>
  <c r="B58" i="63" s="1"/>
  <c r="C15" i="63" s="1"/>
  <c r="J66" i="63"/>
  <c r="I66" i="63" s="1"/>
  <c r="J61" i="63"/>
  <c r="I61" i="63" s="1"/>
  <c r="J60" i="63"/>
  <c r="I60" i="63" s="1"/>
  <c r="J52" i="63"/>
  <c r="I52" i="63" s="1"/>
  <c r="W13" i="39"/>
  <c r="AC13" i="39"/>
  <c r="F19" i="39"/>
  <c r="AA19" i="39" s="1"/>
  <c r="F18" i="59"/>
  <c r="D44" i="67"/>
  <c r="C45" i="67"/>
  <c r="D45" i="67" s="1"/>
  <c r="T70" i="67"/>
  <c r="C69" i="67"/>
  <c r="W32" i="39"/>
  <c r="AC15" i="39"/>
  <c r="U37" i="39"/>
  <c r="AC41" i="39"/>
  <c r="S39" i="39"/>
  <c r="S13" i="39"/>
  <c r="H13" i="39"/>
  <c r="D78" i="43"/>
  <c r="U29" i="39"/>
  <c r="G16" i="66"/>
  <c r="G6" i="66"/>
  <c r="T66" i="67"/>
  <c r="D66" i="67"/>
  <c r="S21" i="39"/>
  <c r="AB40" i="39"/>
  <c r="W42" i="39"/>
  <c r="F38" i="43"/>
  <c r="H114" i="43"/>
  <c r="E81" i="43"/>
  <c r="B79" i="43" s="1"/>
  <c r="D27" i="64"/>
  <c r="D29" i="64"/>
  <c r="I20" i="43"/>
  <c r="K6" i="66"/>
  <c r="AA66" i="66"/>
  <c r="V67" i="66"/>
  <c r="E67" i="66" s="1"/>
  <c r="J11" i="66"/>
  <c r="J9" i="66"/>
  <c r="K17" i="66"/>
  <c r="K16" i="66"/>
  <c r="K14" i="66"/>
  <c r="K12" i="66"/>
  <c r="K11" i="66"/>
  <c r="K10" i="66"/>
  <c r="K9" i="66"/>
  <c r="C41" i="67"/>
  <c r="D40" i="67"/>
  <c r="U66" i="67"/>
  <c r="P66" i="67"/>
  <c r="C77" i="67"/>
  <c r="C7" i="68"/>
  <c r="B2" i="68"/>
  <c r="D8" i="68" s="1"/>
  <c r="F14" i="68"/>
  <c r="H17" i="43"/>
  <c r="D76" i="43"/>
  <c r="N6" i="43"/>
  <c r="E70" i="63"/>
  <c r="B68" i="63" s="1"/>
  <c r="C10" i="63"/>
  <c r="F28" i="59"/>
  <c r="W64" i="66"/>
  <c r="F64" i="66" s="1"/>
  <c r="W65" i="66"/>
  <c r="F65" i="66" s="1"/>
  <c r="V60" i="66"/>
  <c r="E60" i="66" s="1"/>
  <c r="V61" i="66"/>
  <c r="E61" i="66" s="1"/>
  <c r="D78" i="67"/>
  <c r="E64" i="67"/>
  <c r="E14" i="68"/>
  <c r="B53" i="67"/>
  <c r="B54" i="67" s="1"/>
  <c r="S54" i="67" s="1"/>
  <c r="D6" i="68"/>
  <c r="C33" i="67"/>
  <c r="C34" i="67" s="1"/>
  <c r="C57" i="67"/>
  <c r="D7" i="68"/>
  <c r="D72" i="43"/>
  <c r="C12" i="43"/>
  <c r="I106" i="43"/>
  <c r="I107" i="43"/>
  <c r="I103" i="43"/>
  <c r="I110" i="43"/>
  <c r="E102" i="43"/>
  <c r="E110" i="43" s="1"/>
  <c r="K1" i="60"/>
  <c r="H16" i="44"/>
  <c r="M4" i="43"/>
  <c r="C6" i="43" s="1"/>
  <c r="M11" i="43"/>
  <c r="H10" i="44"/>
  <c r="H12" i="44"/>
  <c r="N2" i="43"/>
  <c r="M2" i="43"/>
  <c r="N3" i="43"/>
  <c r="F48" i="43" s="1"/>
  <c r="H56" i="43" s="1"/>
  <c r="H13" i="44"/>
  <c r="M1" i="43"/>
  <c r="M7" i="43"/>
  <c r="H15" i="44"/>
  <c r="M9" i="43"/>
  <c r="H11" i="44"/>
  <c r="H14" i="44"/>
  <c r="N11" i="43"/>
  <c r="M8" i="43"/>
  <c r="J53" i="63"/>
  <c r="I53" i="63" s="1"/>
  <c r="J47" i="63"/>
  <c r="I47" i="63" s="1"/>
  <c r="J74" i="63"/>
  <c r="I74" i="63" s="1"/>
  <c r="F76" i="63"/>
  <c r="G76" i="63" s="1"/>
  <c r="J71" i="63"/>
  <c r="I71" i="63" s="1"/>
  <c r="F52" i="63"/>
  <c r="G52" i="63" s="1"/>
  <c r="D14" i="64"/>
  <c r="J62" i="63"/>
  <c r="I62" i="63" s="1"/>
  <c r="F63" i="63"/>
  <c r="G63" i="63" s="1"/>
  <c r="J57" i="63"/>
  <c r="I57" i="63" s="1"/>
  <c r="F46" i="63"/>
  <c r="G46" i="63" s="1"/>
  <c r="J76" i="63"/>
  <c r="I76" i="63" s="1"/>
  <c r="F60" i="63"/>
  <c r="G60" i="63" s="1"/>
  <c r="U18" i="67"/>
  <c r="E17" i="67"/>
  <c r="E16" i="67" s="1"/>
  <c r="E15" i="67" s="1"/>
  <c r="E14" i="67" s="1"/>
  <c r="AB14" i="39"/>
  <c r="U14" i="39"/>
  <c r="AA45" i="39"/>
  <c r="S45" i="39"/>
  <c r="AA8" i="39"/>
  <c r="S8" i="39"/>
  <c r="F35" i="39"/>
  <c r="J35" i="39"/>
  <c r="H22" i="43"/>
  <c r="F22" i="43"/>
  <c r="M102" i="43"/>
  <c r="C102" i="43"/>
  <c r="C110" i="43" s="1"/>
  <c r="L102" i="43"/>
  <c r="H102" i="43"/>
  <c r="J22" i="43"/>
  <c r="N104" i="46"/>
  <c r="G102" i="43"/>
  <c r="F102" i="43"/>
  <c r="F110" i="43" s="1"/>
  <c r="G22" i="43"/>
  <c r="B114" i="43"/>
  <c r="K102" i="43"/>
  <c r="N102" i="43"/>
  <c r="J102" i="43"/>
  <c r="D102" i="43"/>
  <c r="J9" i="39"/>
  <c r="F9" i="39"/>
  <c r="H9" i="39"/>
  <c r="U9" i="39" s="1"/>
  <c r="E9" i="43"/>
  <c r="E8" i="43"/>
  <c r="E10" i="43"/>
  <c r="K109" i="43"/>
  <c r="K101" i="43"/>
  <c r="C101" i="43"/>
  <c r="E11" i="43"/>
  <c r="I108" i="43"/>
  <c r="I104" i="43"/>
  <c r="I105" i="43"/>
  <c r="F89" i="39"/>
  <c r="G89" i="39" s="1"/>
  <c r="F27" i="39"/>
  <c r="AA27" i="39" s="1"/>
  <c r="J27" i="39"/>
  <c r="H32" i="39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W38" i="39"/>
  <c r="AC38" i="39"/>
  <c r="F32" i="59"/>
  <c r="F29" i="59" s="1"/>
  <c r="U19" i="39"/>
  <c r="AB19" i="39"/>
  <c r="AC45" i="39"/>
  <c r="W45" i="39"/>
  <c r="H12" i="39"/>
  <c r="J12" i="39"/>
  <c r="AC12" i="39" s="1"/>
  <c r="F12" i="39"/>
  <c r="H17" i="39"/>
  <c r="AB17" i="39" s="1"/>
  <c r="F79" i="39"/>
  <c r="G79" i="39" s="1"/>
  <c r="F17" i="39"/>
  <c r="AA17" i="39" s="1"/>
  <c r="J31" i="39"/>
  <c r="H31" i="39"/>
  <c r="F31" i="39"/>
  <c r="H44" i="39"/>
  <c r="AB44" i="39" s="1"/>
  <c r="J44" i="39"/>
  <c r="F44" i="39"/>
  <c r="H62" i="43"/>
  <c r="H59" i="43"/>
  <c r="U15" i="39"/>
  <c r="AB15" i="39"/>
  <c r="AC36" i="39"/>
  <c r="W36" i="39"/>
  <c r="E59" i="43"/>
  <c r="B57" i="43" s="1"/>
  <c r="W62" i="66"/>
  <c r="F62" i="66" s="1"/>
  <c r="AB61" i="66"/>
  <c r="I8" i="66"/>
  <c r="I12" i="66"/>
  <c r="W8" i="39"/>
  <c r="S14" i="39"/>
  <c r="J14" i="39"/>
  <c r="E5" i="43"/>
  <c r="J20" i="43"/>
  <c r="A16" i="43"/>
  <c r="J42" i="63"/>
  <c r="I42" i="63" s="1"/>
  <c r="J45" i="63"/>
  <c r="I45" i="63" s="1"/>
  <c r="J54" i="63"/>
  <c r="I54" i="63" s="1"/>
  <c r="J55" i="63"/>
  <c r="I55" i="63" s="1"/>
  <c r="J64" i="63"/>
  <c r="I64" i="63" s="1"/>
  <c r="J65" i="63"/>
  <c r="I65" i="63" s="1"/>
  <c r="J70" i="63"/>
  <c r="I70" i="63" s="1"/>
  <c r="J72" i="63"/>
  <c r="I72" i="63" s="1"/>
  <c r="J75" i="63"/>
  <c r="I75" i="63" s="1"/>
  <c r="F44" i="63"/>
  <c r="G44" i="63" s="1"/>
  <c r="F42" i="63"/>
  <c r="G42" i="63" s="1"/>
  <c r="D63" i="66"/>
  <c r="D57" i="66"/>
  <c r="D56" i="66"/>
  <c r="G18" i="66"/>
  <c r="G17" i="66"/>
  <c r="G15" i="66"/>
  <c r="G14" i="66"/>
  <c r="G13" i="66"/>
  <c r="G12" i="66"/>
  <c r="G11" i="66"/>
  <c r="G10" i="66"/>
  <c r="G9" i="66"/>
  <c r="Q65" i="67"/>
  <c r="F64" i="67"/>
  <c r="D25" i="67"/>
  <c r="C24" i="67"/>
  <c r="D24" i="67" s="1"/>
  <c r="B25" i="67"/>
  <c r="B24" i="67" s="1"/>
  <c r="S26" i="67"/>
  <c r="F73" i="63"/>
  <c r="G73" i="63" s="1"/>
  <c r="F67" i="63"/>
  <c r="G67" i="63" s="1"/>
  <c r="F55" i="63"/>
  <c r="G55" i="63" s="1"/>
  <c r="D61" i="66"/>
  <c r="U67" i="66"/>
  <c r="C67" i="66" s="1"/>
  <c r="D67" i="66" s="1"/>
  <c r="Z66" i="66"/>
  <c r="K8" i="66"/>
  <c r="K5" i="66"/>
  <c r="K4" i="66"/>
  <c r="K7" i="66"/>
  <c r="F73" i="67"/>
  <c r="F72" i="67" s="1"/>
  <c r="V74" i="67"/>
  <c r="V22" i="67"/>
  <c r="F21" i="67"/>
  <c r="F20" i="67" s="1"/>
  <c r="F19" i="67" s="1"/>
  <c r="F18" i="67" s="1"/>
  <c r="D26" i="67"/>
  <c r="T26" i="67"/>
  <c r="T22" i="67"/>
  <c r="D22" i="67"/>
  <c r="C21" i="67"/>
  <c r="AC40" i="39"/>
  <c r="S41" i="39"/>
  <c r="W29" i="39"/>
  <c r="AC29" i="39"/>
  <c r="C11" i="39"/>
  <c r="B11" i="64"/>
  <c r="C21" i="64" s="1"/>
  <c r="G3" i="63"/>
  <c r="E51" i="63"/>
  <c r="B49" i="63" s="1"/>
  <c r="D33" i="67"/>
  <c r="B69" i="67"/>
  <c r="B68" i="67" s="1"/>
  <c r="S70" i="67"/>
  <c r="G7" i="66"/>
  <c r="G5" i="66"/>
  <c r="J18" i="66"/>
  <c r="J4" i="66"/>
  <c r="J16" i="66"/>
  <c r="J14" i="66"/>
  <c r="J12" i="66"/>
  <c r="C49" i="67"/>
  <c r="D48" i="67"/>
  <c r="D52" i="67"/>
  <c r="C53" i="67"/>
  <c r="D57" i="67"/>
  <c r="C58" i="67"/>
  <c r="D60" i="67"/>
  <c r="C61" i="67"/>
  <c r="B77" i="67"/>
  <c r="B76" i="67" s="1"/>
  <c r="S78" i="67"/>
  <c r="S22" i="67"/>
  <c r="B21" i="67"/>
  <c r="B20" i="67" s="1"/>
  <c r="B19" i="67" s="1"/>
  <c r="B18" i="67" s="1"/>
  <c r="H6" i="44"/>
  <c r="F65" i="63"/>
  <c r="G65" i="63" s="1"/>
  <c r="F53" i="63"/>
  <c r="G53" i="63" s="1"/>
  <c r="F51" i="63"/>
  <c r="G51" i="63" s="1"/>
  <c r="F62" i="63"/>
  <c r="G62" i="63" s="1"/>
  <c r="F66" i="63"/>
  <c r="G66" i="63" s="1"/>
  <c r="F56" i="63"/>
  <c r="G56" i="63" s="1"/>
  <c r="D20" i="64"/>
  <c r="F7" i="39"/>
  <c r="W66" i="66"/>
  <c r="F66" i="66" s="1"/>
  <c r="P66" i="66" s="1"/>
  <c r="J7" i="66"/>
  <c r="J17" i="66"/>
  <c r="D30" i="66"/>
  <c r="D46" i="66"/>
  <c r="Y66" i="66"/>
  <c r="T67" i="66"/>
  <c r="B67" i="66" s="1"/>
  <c r="H4" i="66"/>
  <c r="H8" i="66"/>
  <c r="H6" i="66"/>
  <c r="C64" i="67"/>
  <c r="D65" i="67"/>
  <c r="E69" i="67"/>
  <c r="E68" i="67" s="1"/>
  <c r="U70" i="67"/>
  <c r="C8" i="68"/>
  <c r="C5" i="68"/>
  <c r="F61" i="63"/>
  <c r="G61" i="63" s="1"/>
  <c r="F72" i="63"/>
  <c r="G72" i="63" s="1"/>
  <c r="F70" i="63"/>
  <c r="G70" i="63" s="1"/>
  <c r="J67" i="63"/>
  <c r="I67" i="63" s="1"/>
  <c r="J56" i="63"/>
  <c r="I56" i="63" s="1"/>
  <c r="J51" i="63"/>
  <c r="I51" i="63" s="1"/>
  <c r="F45" i="63"/>
  <c r="G45" i="63" s="1"/>
  <c r="D8" i="63"/>
  <c r="E17" i="64"/>
  <c r="H7" i="39"/>
  <c r="J5" i="66"/>
  <c r="G8" i="66"/>
  <c r="J10" i="66"/>
  <c r="J15" i="66"/>
  <c r="G4" i="66"/>
  <c r="D56" i="67"/>
  <c r="D82" i="67"/>
  <c r="C81" i="67"/>
  <c r="D32" i="67"/>
  <c r="C29" i="67"/>
  <c r="E29" i="67"/>
  <c r="E30" i="67" s="1"/>
  <c r="U30" i="67" s="1"/>
  <c r="E33" i="67"/>
  <c r="E34" i="67" s="1"/>
  <c r="U34" i="67" s="1"/>
  <c r="C37" i="67"/>
  <c r="E37" i="67"/>
  <c r="E38" i="67" s="1"/>
  <c r="E41" i="67"/>
  <c r="E42" i="67" s="1"/>
  <c r="U42" i="67" s="1"/>
  <c r="C73" i="67"/>
  <c r="D74" i="67"/>
  <c r="U78" i="67"/>
  <c r="V26" i="67"/>
  <c r="E49" i="67"/>
  <c r="E50" i="67" s="1"/>
  <c r="U50" i="67" s="1"/>
  <c r="E53" i="67"/>
  <c r="E54" i="67" s="1"/>
  <c r="U54" i="67" s="1"/>
  <c r="E57" i="67"/>
  <c r="E58" i="67" s="1"/>
  <c r="U58" i="67" s="1"/>
  <c r="E61" i="67"/>
  <c r="E62" i="67" s="1"/>
  <c r="U62" i="67" s="1"/>
  <c r="N63" i="67"/>
  <c r="C85" i="67"/>
  <c r="J1" i="65"/>
  <c r="E42" i="63"/>
  <c r="B40" i="63" s="1"/>
  <c r="H60" i="43"/>
  <c r="H61" i="43"/>
  <c r="H63" i="43"/>
  <c r="F81" i="43"/>
  <c r="H66" i="43"/>
  <c r="H67" i="43"/>
  <c r="H64" i="43"/>
  <c r="AB9" i="39"/>
  <c r="F70" i="43"/>
  <c r="H74" i="43" s="1"/>
  <c r="C15" i="64"/>
  <c r="W7" i="39"/>
  <c r="E13" i="67"/>
  <c r="E12" i="67" s="1"/>
  <c r="E11" i="67" s="1"/>
  <c r="E10" i="67" s="1"/>
  <c r="E9" i="67" s="1"/>
  <c r="U14" i="67"/>
  <c r="H49" i="43"/>
  <c r="H53" i="43"/>
  <c r="M1" i="60"/>
  <c r="D17" i="43"/>
  <c r="L17" i="43"/>
  <c r="N17" i="43"/>
  <c r="E17" i="43"/>
  <c r="H52" i="43"/>
  <c r="H55" i="43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C43" i="39"/>
  <c r="W43" i="39"/>
  <c r="F87" i="39"/>
  <c r="G87" i="39" s="1"/>
  <c r="F25" i="39"/>
  <c r="H25" i="39"/>
  <c r="J25" i="39"/>
  <c r="W25" i="39" s="1"/>
  <c r="I51" i="39"/>
  <c r="J51" i="39" s="1"/>
  <c r="S19" i="39"/>
  <c r="AC17" i="39"/>
  <c r="S27" i="39"/>
  <c r="U17" i="39"/>
  <c r="W21" i="39"/>
  <c r="W23" i="39"/>
  <c r="AA40" i="39"/>
  <c r="H27" i="39"/>
  <c r="S29" i="39"/>
  <c r="I3" i="65"/>
  <c r="E4" i="65"/>
  <c r="E7" i="65"/>
  <c r="D7" i="65"/>
  <c r="D8" i="65"/>
  <c r="G4" i="65"/>
  <c r="E8" i="65"/>
  <c r="E6" i="65"/>
  <c r="U43" i="39" l="1"/>
  <c r="AB43" i="39"/>
  <c r="W19" i="39"/>
  <c r="E70" i="43"/>
  <c r="B68" i="43" s="1"/>
  <c r="C24" i="43" s="1"/>
  <c r="I15" i="66"/>
  <c r="I5" i="66"/>
  <c r="I17" i="66"/>
  <c r="I11" i="66"/>
  <c r="I7" i="66"/>
  <c r="I14" i="66"/>
  <c r="I16" i="66"/>
  <c r="I4" i="66"/>
  <c r="I10" i="66"/>
  <c r="I13" i="66"/>
  <c r="E106" i="43"/>
  <c r="E103" i="43"/>
  <c r="E105" i="43"/>
  <c r="E108" i="43"/>
  <c r="F33" i="59"/>
  <c r="B17" i="9" s="1"/>
  <c r="V66" i="66"/>
  <c r="E66" i="66" s="1"/>
  <c r="O66" i="66" s="1"/>
  <c r="AA65" i="66"/>
  <c r="D5" i="68"/>
  <c r="P65" i="66"/>
  <c r="C76" i="67"/>
  <c r="D76" i="67" s="1"/>
  <c r="D77" i="67"/>
  <c r="D41" i="67"/>
  <c r="C42" i="67"/>
  <c r="U13" i="39"/>
  <c r="AB13" i="39"/>
  <c r="D69" i="67"/>
  <c r="C68" i="67"/>
  <c r="D68" i="67" s="1"/>
  <c r="F9" i="9"/>
  <c r="F5" i="9" s="1"/>
  <c r="F17" i="59"/>
  <c r="F12" i="59" s="1"/>
  <c r="F20" i="59" s="1"/>
  <c r="F11" i="9" s="1"/>
  <c r="P64" i="67"/>
  <c r="P63" i="67"/>
  <c r="U38" i="67"/>
  <c r="F19" i="43"/>
  <c r="D22" i="43"/>
  <c r="C21" i="43" s="1"/>
  <c r="K110" i="43"/>
  <c r="E107" i="43"/>
  <c r="E104" i="43"/>
  <c r="H70" i="43"/>
  <c r="H73" i="43"/>
  <c r="H50" i="43"/>
  <c r="H51" i="43"/>
  <c r="H54" i="43"/>
  <c r="H48" i="43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B116" i="43"/>
  <c r="D119" i="43"/>
  <c r="E119" i="43" s="1"/>
  <c r="F119" i="43" s="1"/>
  <c r="I118" i="43"/>
  <c r="J118" i="43" s="1"/>
  <c r="K118" i="43" s="1"/>
  <c r="L118" i="43" s="1"/>
  <c r="M118" i="43" s="1"/>
  <c r="B117" i="43"/>
  <c r="C117" i="43" s="1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P64" i="66"/>
  <c r="AC14" i="39"/>
  <c r="W14" i="39"/>
  <c r="AA31" i="39"/>
  <c r="S31" i="39"/>
  <c r="U12" i="39"/>
  <c r="AB12" i="39"/>
  <c r="U32" i="39"/>
  <c r="AB32" i="39"/>
  <c r="C7" i="43"/>
  <c r="J107" i="43"/>
  <c r="J110" i="43"/>
  <c r="J106" i="43"/>
  <c r="J103" i="43"/>
  <c r="J108" i="43"/>
  <c r="J104" i="43"/>
  <c r="J105" i="43"/>
  <c r="C108" i="43"/>
  <c r="C107" i="43"/>
  <c r="C104" i="43"/>
  <c r="C105" i="43"/>
  <c r="C106" i="43"/>
  <c r="C103" i="43"/>
  <c r="C23" i="43" s="1"/>
  <c r="AC35" i="39"/>
  <c r="W35" i="39"/>
  <c r="E12" i="63"/>
  <c r="F12" i="63" s="1"/>
  <c r="G12" i="63"/>
  <c r="H12" i="63" s="1"/>
  <c r="E13" i="63"/>
  <c r="F13" i="63" s="1"/>
  <c r="D14" i="63"/>
  <c r="G13" i="63"/>
  <c r="H13" i="63" s="1"/>
  <c r="B80" i="63"/>
  <c r="L107" i="43"/>
  <c r="L108" i="43"/>
  <c r="L106" i="43"/>
  <c r="L104" i="43"/>
  <c r="L103" i="43"/>
  <c r="L110" i="43"/>
  <c r="L105" i="43"/>
  <c r="O63" i="67"/>
  <c r="D64" i="67"/>
  <c r="O64" i="67"/>
  <c r="S17" i="39"/>
  <c r="U44" i="39"/>
  <c r="D85" i="67"/>
  <c r="C84" i="67"/>
  <c r="D84" i="67" s="1"/>
  <c r="D29" i="67"/>
  <c r="C30" i="67"/>
  <c r="AB7" i="39"/>
  <c r="T47" i="39" s="1"/>
  <c r="G47" i="39" s="1"/>
  <c r="U7" i="39"/>
  <c r="T66" i="66"/>
  <c r="B66" i="66" s="1"/>
  <c r="L66" i="66" s="1"/>
  <c r="Y65" i="66"/>
  <c r="C50" i="67"/>
  <c r="D49" i="67"/>
  <c r="T34" i="67"/>
  <c r="D34" i="67"/>
  <c r="F11" i="39"/>
  <c r="J11" i="39"/>
  <c r="H11" i="39"/>
  <c r="P63" i="66"/>
  <c r="W61" i="66"/>
  <c r="F61" i="66" s="1"/>
  <c r="P61" i="66" s="1"/>
  <c r="W60" i="66"/>
  <c r="F60" i="66" s="1"/>
  <c r="AA44" i="39"/>
  <c r="S44" i="39"/>
  <c r="AB31" i="39"/>
  <c r="U31" i="39"/>
  <c r="AC27" i="39"/>
  <c r="W27" i="39"/>
  <c r="AA9" i="39"/>
  <c r="S9" i="39"/>
  <c r="N108" i="43"/>
  <c r="N106" i="43"/>
  <c r="N105" i="43"/>
  <c r="N110" i="43"/>
  <c r="N103" i="43"/>
  <c r="N104" i="43"/>
  <c r="N107" i="43"/>
  <c r="F107" i="43"/>
  <c r="F104" i="43"/>
  <c r="F108" i="43"/>
  <c r="F103" i="43"/>
  <c r="F105" i="43"/>
  <c r="F106" i="43"/>
  <c r="M105" i="43"/>
  <c r="M104" i="43"/>
  <c r="M107" i="43"/>
  <c r="M103" i="43"/>
  <c r="M106" i="43"/>
  <c r="M110" i="43"/>
  <c r="M108" i="43"/>
  <c r="AA35" i="39"/>
  <c r="S35" i="39"/>
  <c r="D73" i="67"/>
  <c r="C72" i="67"/>
  <c r="D72" i="67" s="1"/>
  <c r="D81" i="67"/>
  <c r="C80" i="67"/>
  <c r="D80" i="67" s="1"/>
  <c r="F17" i="67"/>
  <c r="F16" i="67" s="1"/>
  <c r="F15" i="67" s="1"/>
  <c r="F14" i="67" s="1"/>
  <c r="V18" i="67"/>
  <c r="D110" i="43"/>
  <c r="D107" i="43"/>
  <c r="D106" i="43"/>
  <c r="D108" i="43"/>
  <c r="D105" i="43"/>
  <c r="D103" i="43"/>
  <c r="D104" i="43"/>
  <c r="S7" i="39"/>
  <c r="AA7" i="39"/>
  <c r="R47" i="39" s="1"/>
  <c r="T58" i="67"/>
  <c r="D58" i="67"/>
  <c r="S32" i="39"/>
  <c r="W12" i="39"/>
  <c r="D37" i="67"/>
  <c r="C38" i="67"/>
  <c r="S18" i="67"/>
  <c r="B17" i="67"/>
  <c r="B16" i="67" s="1"/>
  <c r="B15" i="67" s="1"/>
  <c r="B14" i="67" s="1"/>
  <c r="C62" i="67"/>
  <c r="D61" i="67"/>
  <c r="D53" i="67"/>
  <c r="C54" i="67"/>
  <c r="C20" i="67"/>
  <c r="D21" i="67"/>
  <c r="U66" i="66"/>
  <c r="C66" i="66" s="1"/>
  <c r="Z65" i="66"/>
  <c r="Q64" i="67"/>
  <c r="Q63" i="67"/>
  <c r="P62" i="66"/>
  <c r="W44" i="39"/>
  <c r="AC44" i="39"/>
  <c r="W31" i="39"/>
  <c r="AC31" i="39"/>
  <c r="S12" i="39"/>
  <c r="AA12" i="39"/>
  <c r="AC9" i="39"/>
  <c r="W9" i="39"/>
  <c r="K108" i="43"/>
  <c r="K106" i="43"/>
  <c r="K103" i="43"/>
  <c r="K104" i="43"/>
  <c r="K107" i="43"/>
  <c r="K105" i="43"/>
  <c r="G110" i="43"/>
  <c r="G106" i="43"/>
  <c r="G103" i="43"/>
  <c r="G108" i="43"/>
  <c r="G107" i="43"/>
  <c r="G104" i="43"/>
  <c r="G105" i="43"/>
  <c r="H106" i="43"/>
  <c r="H103" i="43"/>
  <c r="H104" i="43"/>
  <c r="H108" i="43"/>
  <c r="H110" i="43"/>
  <c r="H107" i="43"/>
  <c r="H105" i="43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U10" i="67"/>
  <c r="C5" i="43"/>
  <c r="E8" i="67"/>
  <c r="D58" i="39"/>
  <c r="E56" i="39"/>
  <c r="S25" i="39"/>
  <c r="AA25" i="39"/>
  <c r="AC25" i="39"/>
  <c r="U25" i="39"/>
  <c r="AB25" i="39"/>
  <c r="AB27" i="39"/>
  <c r="U27" i="39"/>
  <c r="D4" i="65"/>
  <c r="D6" i="65"/>
  <c r="D5" i="65"/>
  <c r="G3" i="65"/>
  <c r="D42" i="67" l="1"/>
  <c r="T42" i="67"/>
  <c r="V65" i="66"/>
  <c r="E65" i="66" s="1"/>
  <c r="O65" i="66" s="1"/>
  <c r="V64" i="66"/>
  <c r="E64" i="66" s="1"/>
  <c r="K4" i="65"/>
  <c r="K1" i="65"/>
  <c r="K2" i="65"/>
  <c r="U65" i="66"/>
  <c r="C65" i="66" s="1"/>
  <c r="U64" i="66"/>
  <c r="C64" i="66" s="1"/>
  <c r="T54" i="67"/>
  <c r="D54" i="67"/>
  <c r="B13" i="67"/>
  <c r="B12" i="67" s="1"/>
  <c r="B11" i="67" s="1"/>
  <c r="B10" i="67" s="1"/>
  <c r="S14" i="67"/>
  <c r="T38" i="67"/>
  <c r="D38" i="67"/>
  <c r="F13" i="67"/>
  <c r="F12" i="67" s="1"/>
  <c r="F11" i="67" s="1"/>
  <c r="F10" i="67" s="1"/>
  <c r="V14" i="67"/>
  <c r="AB11" i="39"/>
  <c r="U11" i="39"/>
  <c r="B85" i="63"/>
  <c r="B82" i="63"/>
  <c r="B83" i="63"/>
  <c r="B84" i="63"/>
  <c r="B81" i="63" s="1"/>
  <c r="D12" i="63"/>
  <c r="C11" i="63" s="1"/>
  <c r="D13" i="63"/>
  <c r="C116" i="43"/>
  <c r="D114" i="43"/>
  <c r="T62" i="67"/>
  <c r="D62" i="67"/>
  <c r="P60" i="66"/>
  <c r="P39" i="66"/>
  <c r="P44" i="66"/>
  <c r="P33" i="66"/>
  <c r="P49" i="66"/>
  <c r="P25" i="66"/>
  <c r="P38" i="66"/>
  <c r="P20" i="66"/>
  <c r="P51" i="66"/>
  <c r="P54" i="66"/>
  <c r="P26" i="66"/>
  <c r="P58" i="66"/>
  <c r="P55" i="66"/>
  <c r="P42" i="66"/>
  <c r="P32" i="66"/>
  <c r="P47" i="66"/>
  <c r="P37" i="66"/>
  <c r="P24" i="66"/>
  <c r="P52" i="66"/>
  <c r="P53" i="66"/>
  <c r="P27" i="66"/>
  <c r="P23" i="66"/>
  <c r="P21" i="66"/>
  <c r="P31" i="66"/>
  <c r="P56" i="66"/>
  <c r="P41" i="66"/>
  <c r="P19" i="66"/>
  <c r="P48" i="66"/>
  <c r="P36" i="66"/>
  <c r="P35" i="66"/>
  <c r="P57" i="66"/>
  <c r="P59" i="66"/>
  <c r="P43" i="66"/>
  <c r="P45" i="66"/>
  <c r="P46" i="66"/>
  <c r="P22" i="66"/>
  <c r="P50" i="66"/>
  <c r="P29" i="66"/>
  <c r="P18" i="66"/>
  <c r="P17" i="66"/>
  <c r="P2" i="66" s="1"/>
  <c r="C30" i="63" s="1"/>
  <c r="P34" i="66"/>
  <c r="P28" i="66"/>
  <c r="P40" i="66"/>
  <c r="P30" i="66"/>
  <c r="D66" i="66"/>
  <c r="N66" i="66" s="1"/>
  <c r="M66" i="66"/>
  <c r="W11" i="39"/>
  <c r="AC11" i="39"/>
  <c r="T50" i="67"/>
  <c r="D50" i="67"/>
  <c r="I9" i="63" s="1"/>
  <c r="C9" i="63" s="1"/>
  <c r="G51" i="39"/>
  <c r="H51" i="39" s="1"/>
  <c r="G52" i="39"/>
  <c r="H52" i="39" s="1"/>
  <c r="C19" i="67"/>
  <c r="D20" i="67"/>
  <c r="E47" i="39"/>
  <c r="R48" i="39"/>
  <c r="S11" i="39"/>
  <c r="AA11" i="39"/>
  <c r="T65" i="66"/>
  <c r="B65" i="66" s="1"/>
  <c r="L65" i="66" s="1"/>
  <c r="T64" i="66"/>
  <c r="B64" i="66" s="1"/>
  <c r="T30" i="67"/>
  <c r="D30" i="67"/>
  <c r="C23" i="64"/>
  <c r="E7" i="67"/>
  <c r="E58" i="39"/>
  <c r="F56" i="39"/>
  <c r="E20" i="43"/>
  <c r="G1" i="65"/>
  <c r="G2" i="65"/>
  <c r="C21" i="63" l="1"/>
  <c r="E21" i="63" s="1"/>
  <c r="C20" i="63"/>
  <c r="C19" i="63"/>
  <c r="E19" i="63" s="1"/>
  <c r="C18" i="63"/>
  <c r="O60" i="66"/>
  <c r="O49" i="66"/>
  <c r="O41" i="66"/>
  <c r="O34" i="66"/>
  <c r="O28" i="66"/>
  <c r="O19" i="66"/>
  <c r="O61" i="66"/>
  <c r="O39" i="66"/>
  <c r="O51" i="66"/>
  <c r="O52" i="66"/>
  <c r="O45" i="66"/>
  <c r="O38" i="66"/>
  <c r="O30" i="66"/>
  <c r="O25" i="66"/>
  <c r="O56" i="66"/>
  <c r="O17" i="66"/>
  <c r="O2" i="66" s="1"/>
  <c r="C29" i="63" s="1"/>
  <c r="O57" i="66"/>
  <c r="O50" i="66"/>
  <c r="O44" i="66"/>
  <c r="O36" i="66"/>
  <c r="O29" i="66"/>
  <c r="O24" i="66"/>
  <c r="O35" i="66"/>
  <c r="O47" i="66"/>
  <c r="O58" i="66"/>
  <c r="O54" i="66"/>
  <c r="O46" i="66"/>
  <c r="O40" i="66"/>
  <c r="O33" i="66"/>
  <c r="O20" i="66"/>
  <c r="O22" i="66"/>
  <c r="O21" i="66"/>
  <c r="O32" i="66"/>
  <c r="O53" i="66"/>
  <c r="O64" i="66"/>
  <c r="O27" i="66"/>
  <c r="O18" i="66"/>
  <c r="O37" i="66"/>
  <c r="O55" i="66"/>
  <c r="O62" i="66"/>
  <c r="O23" i="66"/>
  <c r="O42" i="66"/>
  <c r="O31" i="66"/>
  <c r="O59" i="66"/>
  <c r="O26" i="66"/>
  <c r="O48" i="66"/>
  <c r="O63" i="66"/>
  <c r="O43" i="66"/>
  <c r="G9" i="59"/>
  <c r="C12" i="9" s="1"/>
  <c r="G21" i="59"/>
  <c r="R20" i="43"/>
  <c r="P20" i="43"/>
  <c r="Q20" i="43"/>
  <c r="S20" i="43"/>
  <c r="F9" i="67"/>
  <c r="F8" i="67" s="1"/>
  <c r="F7" i="67" s="1"/>
  <c r="V10" i="67"/>
  <c r="B9" i="67"/>
  <c r="B8" i="67" s="1"/>
  <c r="B7" i="67" s="1"/>
  <c r="S10" i="67"/>
  <c r="M65" i="66"/>
  <c r="D65" i="66"/>
  <c r="N65" i="66" s="1"/>
  <c r="D19" i="67"/>
  <c r="C18" i="67"/>
  <c r="L64" i="66"/>
  <c r="L63" i="66"/>
  <c r="L29" i="66"/>
  <c r="L50" i="66"/>
  <c r="L26" i="66"/>
  <c r="L34" i="66"/>
  <c r="L57" i="66"/>
  <c r="L40" i="66"/>
  <c r="L45" i="66"/>
  <c r="L18" i="66"/>
  <c r="L28" i="66"/>
  <c r="L49" i="66"/>
  <c r="L31" i="66"/>
  <c r="L47" i="66"/>
  <c r="L42" i="66"/>
  <c r="L23" i="66"/>
  <c r="L46" i="66"/>
  <c r="L22" i="66"/>
  <c r="L43" i="66"/>
  <c r="L27" i="66"/>
  <c r="L52" i="66"/>
  <c r="L30" i="66"/>
  <c r="L19" i="66"/>
  <c r="L59" i="66"/>
  <c r="L33" i="66"/>
  <c r="L54" i="66"/>
  <c r="L62" i="66"/>
  <c r="L35" i="66"/>
  <c r="L51" i="66"/>
  <c r="L56" i="66"/>
  <c r="L37" i="66"/>
  <c r="L20" i="66"/>
  <c r="L41" i="66"/>
  <c r="L53" i="66"/>
  <c r="L32" i="66"/>
  <c r="L24" i="66"/>
  <c r="L44" i="66"/>
  <c r="L60" i="66"/>
  <c r="L25" i="66"/>
  <c r="L48" i="66"/>
  <c r="L17" i="66"/>
  <c r="L2" i="66" s="1"/>
  <c r="C26" i="63" s="1"/>
  <c r="L58" i="66"/>
  <c r="L38" i="66"/>
  <c r="L61" i="66"/>
  <c r="L21" i="66"/>
  <c r="L39" i="66"/>
  <c r="L55" i="66"/>
  <c r="L36" i="66"/>
  <c r="C48" i="39"/>
  <c r="B3" i="39" s="1"/>
  <c r="C47" i="39"/>
  <c r="E51" i="39"/>
  <c r="F51" i="39" s="1"/>
  <c r="I52" i="39"/>
  <c r="J52" i="39" s="1"/>
  <c r="E52" i="39"/>
  <c r="F52" i="39" s="1"/>
  <c r="D64" i="66"/>
  <c r="M64" i="66"/>
  <c r="M48" i="66"/>
  <c r="M55" i="66"/>
  <c r="M60" i="66"/>
  <c r="M47" i="66"/>
  <c r="M40" i="66"/>
  <c r="M58" i="66"/>
  <c r="M50" i="66"/>
  <c r="M49" i="66"/>
  <c r="M56" i="66"/>
  <c r="M46" i="66"/>
  <c r="M30" i="66"/>
  <c r="M22" i="66"/>
  <c r="M23" i="66"/>
  <c r="M25" i="66"/>
  <c r="M17" i="66"/>
  <c r="M2" i="66" s="1"/>
  <c r="C27" i="63" s="1"/>
  <c r="M36" i="66"/>
  <c r="M26" i="66"/>
  <c r="M21" i="66"/>
  <c r="M52" i="66"/>
  <c r="M53" i="66"/>
  <c r="M18" i="66"/>
  <c r="M57" i="66"/>
  <c r="M42" i="66"/>
  <c r="M41" i="66"/>
  <c r="M61" i="66"/>
  <c r="M45" i="66"/>
  <c r="M29" i="66"/>
  <c r="M35" i="66"/>
  <c r="M28" i="66"/>
  <c r="M20" i="66"/>
  <c r="M43" i="66"/>
  <c r="M62" i="66"/>
  <c r="M24" i="66"/>
  <c r="M27" i="66"/>
  <c r="M38" i="66"/>
  <c r="M32" i="66"/>
  <c r="M19" i="66"/>
  <c r="M51" i="66"/>
  <c r="M59" i="66"/>
  <c r="M63" i="66"/>
  <c r="M34" i="66"/>
  <c r="M33" i="66"/>
  <c r="M31" i="66"/>
  <c r="M54" i="66"/>
  <c r="M44" i="66"/>
  <c r="M39" i="66"/>
  <c r="M37" i="66"/>
  <c r="C22" i="64"/>
  <c r="C30" i="64" s="1"/>
  <c r="B6" i="67"/>
  <c r="F6" i="67"/>
  <c r="V6" i="67" s="1"/>
  <c r="E6" i="67"/>
  <c r="U6" i="67" s="1"/>
  <c r="G56" i="39"/>
  <c r="F58" i="39"/>
  <c r="B4" i="63" l="1"/>
  <c r="E20" i="63"/>
  <c r="C22" i="63"/>
  <c r="B5" i="63" s="1"/>
  <c r="B3" i="63"/>
  <c r="E18" i="63"/>
  <c r="G20" i="43"/>
  <c r="B17" i="59" s="1"/>
  <c r="B18" i="59" s="1"/>
  <c r="N64" i="66"/>
  <c r="N62" i="66"/>
  <c r="N18" i="66"/>
  <c r="N55" i="66"/>
  <c r="N28" i="66"/>
  <c r="N53" i="66"/>
  <c r="N47" i="66"/>
  <c r="N43" i="66"/>
  <c r="N32" i="66"/>
  <c r="N48" i="66"/>
  <c r="N35" i="66"/>
  <c r="N56" i="66"/>
  <c r="N17" i="66"/>
  <c r="N2" i="66" s="1"/>
  <c r="C28" i="63" s="1"/>
  <c r="N23" i="66"/>
  <c r="N40" i="66"/>
  <c r="N41" i="66"/>
  <c r="N63" i="66"/>
  <c r="N30" i="66"/>
  <c r="N52" i="66"/>
  <c r="N61" i="66"/>
  <c r="N57" i="66"/>
  <c r="N21" i="66"/>
  <c r="N29" i="66"/>
  <c r="N42" i="66"/>
  <c r="N20" i="66"/>
  <c r="N39" i="66"/>
  <c r="N44" i="66"/>
  <c r="N60" i="66"/>
  <c r="N54" i="66"/>
  <c r="N45" i="66"/>
  <c r="N51" i="66"/>
  <c r="N24" i="66"/>
  <c r="N34" i="66"/>
  <c r="N27" i="66"/>
  <c r="N19" i="66"/>
  <c r="N58" i="66"/>
  <c r="N46" i="66"/>
  <c r="N38" i="66"/>
  <c r="N37" i="66"/>
  <c r="N25" i="66"/>
  <c r="N33" i="66"/>
  <c r="N26" i="66"/>
  <c r="N22" i="66"/>
  <c r="N59" i="66"/>
  <c r="N31" i="66"/>
  <c r="N36" i="66"/>
  <c r="N49" i="66"/>
  <c r="N50" i="66"/>
  <c r="D18" i="67"/>
  <c r="C17" i="67"/>
  <c r="T18" i="67"/>
  <c r="F21" i="59"/>
  <c r="G12" i="9"/>
  <c r="C28" i="64"/>
  <c r="E28" i="64" s="1"/>
  <c r="B3" i="64"/>
  <c r="S6" i="67"/>
  <c r="G58" i="39"/>
  <c r="H56" i="39"/>
  <c r="C29" i="64"/>
  <c r="E29" i="64" s="1"/>
  <c r="E30" i="64"/>
  <c r="C20" i="43" l="1"/>
  <c r="E41" i="43"/>
  <c r="C41" i="43" s="1"/>
  <c r="C16" i="67"/>
  <c r="D17" i="67"/>
  <c r="F11" i="59"/>
  <c r="F12" i="9"/>
  <c r="F14" i="9" s="1"/>
  <c r="C27" i="64"/>
  <c r="E27" i="64" s="1"/>
  <c r="H58" i="39"/>
  <c r="I56" i="39"/>
  <c r="C15" i="67" l="1"/>
  <c r="D16" i="67"/>
  <c r="I58" i="39"/>
  <c r="J56" i="39"/>
  <c r="D15" i="67" l="1"/>
  <c r="C14" i="67"/>
  <c r="K56" i="39"/>
  <c r="J58" i="39"/>
  <c r="T14" i="67" l="1"/>
  <c r="D14" i="67"/>
  <c r="C13" i="67"/>
  <c r="L56" i="39"/>
  <c r="K58" i="39"/>
  <c r="C12" i="67" l="1"/>
  <c r="D13" i="67"/>
  <c r="M56" i="39"/>
  <c r="L58" i="39"/>
  <c r="D12" i="67" l="1"/>
  <c r="C11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D6" i="67" l="1"/>
  <c r="I19" i="43" s="1"/>
  <c r="C19" i="43" s="1"/>
  <c r="T6" i="67"/>
  <c r="C35" i="43" l="1"/>
  <c r="C37" i="43"/>
  <c r="C38" i="43"/>
  <c r="C36" i="43"/>
  <c r="C33" i="43"/>
  <c r="C34" i="43"/>
  <c r="C29" i="43"/>
  <c r="C39" i="43"/>
  <c r="B3" i="43" l="1"/>
  <c r="F6" i="59" s="1"/>
  <c r="E39" i="43"/>
  <c r="G39" i="43"/>
  <c r="I39" i="43" s="1"/>
  <c r="E34" i="43"/>
  <c r="G34" i="43"/>
  <c r="I34" i="43" s="1"/>
  <c r="G36" i="43"/>
  <c r="I36" i="43" s="1"/>
  <c r="E36" i="43"/>
  <c r="C30" i="43"/>
  <c r="E29" i="43"/>
  <c r="E38" i="43"/>
  <c r="G38" i="43"/>
  <c r="I38" i="43" s="1"/>
  <c r="E37" i="43"/>
  <c r="G37" i="43"/>
  <c r="I37" i="43" s="1"/>
  <c r="G33" i="43"/>
  <c r="I33" i="43" s="1"/>
  <c r="E33" i="43"/>
  <c r="G35" i="43"/>
  <c r="I35" i="43" s="1"/>
  <c r="E35" i="43"/>
  <c r="E30" i="43" l="1"/>
  <c r="C27" i="43" s="1"/>
  <c r="B4" i="43"/>
  <c r="F7" i="59" s="1"/>
  <c r="F5" i="59" s="1"/>
  <c r="C26" i="43"/>
  <c r="B2" i="43" s="1"/>
  <c r="F8" i="59" l="1"/>
  <c r="B11" i="9" s="1"/>
  <c r="B5" i="9"/>
  <c r="F9" i="59" l="1"/>
  <c r="B12" i="9" s="1"/>
  <c r="F10" i="59"/>
  <c r="B13" i="9" s="1"/>
  <c r="B14" i="9" l="1"/>
  <c r="F4" i="59"/>
  <c r="F24" i="59" s="1"/>
  <c r="F35" i="59" s="1"/>
  <c r="B18" i="9" s="1"/>
  <c r="C11" i="68" s="1"/>
  <c r="B15" i="9" l="1"/>
  <c r="F25" i="59"/>
  <c r="B16" i="9" s="1"/>
  <c r="H16" i="9" s="1"/>
  <c r="F36" i="59" l="1"/>
  <c r="B19" i="9" s="1"/>
  <c r="H19" i="9" s="1"/>
  <c r="B11" i="68" l="1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<sst xmlns="http://schemas.openxmlformats.org/spreadsheetml/2006/main" count="3971" uniqueCount="1800">
  <si>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</si>
  <si>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</si>
  <si>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</si>
  <si>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</si>
  <si>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</si>
  <si>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</si>
  <si>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</si>
  <si>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</si>
  <si>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</si>
  <si>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</si>
  <si>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</si>
  <si>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</si>
  <si>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</si>
  <si>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</si>
  <si>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</si>
  <si>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</si>
  <si>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</si>
  <si>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</si>
  <si>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</si>
  <si>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</si>
  <si>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</si>
  <si>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</si>
  <si>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</si>
  <si>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</si>
  <si>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</si>
  <si>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</si>
  <si>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</si>
  <si>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</si>
  <si>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</si>
  <si>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</si>
  <si>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</si>
  <si>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</si>
  <si>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</si>
  <si>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</si>
  <si>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</si>
  <si>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</si>
  <si>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</si>
  <si>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</si>
  <si>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</si>
  <si>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</si>
  <si>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</si>
  <si>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</si>
  <si>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</si>
  <si>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</si>
  <si>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</si>
  <si>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</si>
  <si>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</si>
  <si>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</si>
  <si>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</si>
  <si>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</si>
  <si>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</si>
  <si>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</si>
  <si>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</si>
  <si>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</si>
  <si>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</si>
  <si>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</si>
  <si>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</si>
  <si>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</si>
  <si>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</si>
  <si>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</si>
  <si>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</si>
  <si>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</si>
  <si>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</si>
  <si>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</si>
  <si>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</si>
  <si>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</si>
  <si>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</si>
  <si>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</si>
  <si>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</si>
  <si>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</si>
  <si>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</si>
  <si>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</si>
  <si>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</si>
  <si>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</si>
  <si>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</si>
  <si>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</si>
  <si>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</si>
  <si>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</si>
  <si>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</si>
  <si>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</si>
  <si>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</si>
  <si>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</si>
  <si>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</si>
  <si>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</si>
  <si>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</si>
  <si>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</si>
  <si>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</si>
  <si>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</si>
  <si>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</si>
  <si>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</si>
  <si>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</si>
  <si>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</si>
  <si>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</si>
  <si>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</si>
  <si>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</si>
  <si>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</si>
  <si>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</si>
  <si>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</si>
  <si>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</si>
  <si>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</si>
  <si>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</si>
  <si>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</si>
  <si>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</si>
  <si>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</si>
  <si>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</si>
  <si>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</si>
  <si>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</si>
  <si>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</si>
  <si>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</si>
  <si>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</si>
  <si>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</si>
  <si>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</si>
  <si>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</si>
  <si>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</si>
  <si>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</si>
  <si>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</si>
  <si>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</si>
  <si>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</si>
  <si>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</si>
  <si>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</si>
  <si>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</si>
  <si>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</si>
  <si>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</si>
  <si>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</si>
  <si>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</si>
  <si>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</si>
  <si>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</si>
  <si>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</si>
  <si>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</si>
  <si>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</si>
  <si>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</si>
  <si>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</si>
  <si>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</si>
  <si>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</si>
  <si>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</si>
  <si>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</si>
  <si>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</si>
  <si>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</si>
  <si>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</si>
  <si>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</si>
  <si>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</si>
  <si>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</si>
  <si>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</si>
  <si>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</si>
  <si>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</si>
  <si>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</si>
  <si>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</si>
  <si>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</si>
  <si>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</si>
  <si>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</si>
  <si>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</si>
  <si>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</si>
  <si>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</si>
  <si>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</si>
  <si>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</si>
  <si>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</si>
  <si>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</si>
  <si>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</si>
  <si>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</si>
  <si>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</si>
  <si>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</si>
  <si>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</si>
  <si>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</si>
  <si>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</si>
  <si>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</si>
  <si>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</si>
  <si>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</si>
  <si>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</si>
  <si>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</si>
  <si>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</si>
  <si>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</si>
  <si>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</si>
  <si>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</si>
  <si>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</si>
  <si>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</si>
  <si>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</si>
  <si>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</si>
  <si>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</si>
  <si>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</si>
  <si>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</si>
  <si>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</si>
  <si>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</si>
  <si>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</si>
  <si>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</si>
  <si>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</si>
  <si>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</si>
  <si>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</si>
  <si>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</si>
  <si>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</si>
  <si>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</si>
  <si>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</si>
  <si>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</si>
  <si>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</si>
  <si>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</si>
  <si>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</si>
  <si>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</si>
  <si>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</si>
  <si>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</si>
  <si>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</si>
  <si>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</si>
  <si>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</si>
  <si>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</si>
  <si>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</si>
  <si>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</si>
  <si>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</si>
  <si>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</si>
  <si>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</si>
  <si>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</si>
  <si>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</si>
  <si>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</si>
  <si>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</si>
  <si>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</si>
  <si>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</si>
  <si>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</si>
  <si>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</si>
  <si>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</si>
  <si>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</si>
  <si>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</si>
  <si>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</si>
  <si>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</si>
  <si>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</si>
  <si>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</si>
  <si>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</si>
  <si>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</si>
  <si>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</si>
  <si>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</si>
  <si>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</si>
  <si>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</si>
  <si>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</si>
  <si>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</si>
  <si>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</si>
  <si>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</si>
  <si>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</si>
  <si>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</si>
  <si>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</si>
  <si>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</si>
  <si>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</si>
  <si>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</si>
  <si>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</si>
  <si>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</si>
  <si>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</si>
  <si>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</si>
  <si>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</si>
  <si>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</si>
  <si>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</si>
  <si>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</si>
  <si>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</si>
  <si>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</si>
  <si>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</si>
  <si>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</si>
  <si>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</si>
  <si>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</si>
  <si>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</si>
  <si>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</si>
  <si>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</si>
  <si>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</si>
  <si>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</si>
  <si>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</si>
  <si>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</si>
  <si>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</si>
  <si>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</si>
  <si>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</si>
  <si>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</si>
  <si>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</si>
  <si>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</si>
  <si>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</si>
  <si>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</si>
  <si>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</si>
  <si>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</si>
  <si>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</si>
  <si>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</si>
  <si>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</si>
  <si>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</si>
  <si>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</si>
  <si>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</si>
  <si>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</si>
  <si>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</si>
  <si>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</si>
  <si>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</si>
  <si>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</si>
  <si>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</si>
  <si>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</si>
  <si>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</si>
  <si>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</si>
  <si>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</si>
  <si>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</si>
  <si>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</si>
  <si>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</si>
  <si>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</si>
  <si>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</si>
  <si>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</si>
  <si>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</si>
  <si>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</si>
  <si>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</si>
  <si>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</si>
  <si>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</si>
  <si>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</si>
  <si>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</si>
  <si>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</si>
  <si>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</si>
  <si>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</si>
  <si>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</si>
  <si>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</si>
  <si>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</si>
  <si>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</si>
  <si>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</si>
  <si>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</si>
  <si>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</si>
  <si>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</si>
  <si>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</si>
  <si>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</si>
  <si>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</si>
  <si>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</si>
  <si>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</si>
  <si>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</si>
  <si>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</si>
  <si>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</si>
  <si>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</si>
  <si>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</si>
  <si>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</si>
  <si>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</si>
  <si>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</si>
  <si>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</si>
  <si>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</si>
  <si>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</si>
  <si>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</si>
  <si>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</si>
  <si>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</si>
  <si>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</si>
  <si>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</si>
  <si>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</si>
  <si>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</si>
  <si>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</si>
  <si>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</si>
  <si>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</si>
  <si>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</si>
  <si>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</si>
  <si>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</si>
  <si>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</si>
  <si>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</si>
  <si>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</si>
  <si>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</si>
  <si>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</si>
  <si>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</si>
  <si>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</si>
  <si>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</si>
  <si>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</si>
  <si>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</si>
  <si>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</si>
  <si>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</si>
  <si>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</si>
  <si>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</si>
  <si>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</si>
  <si>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</si>
  <si>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</si>
  <si>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</si>
  <si>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</si>
  <si>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</si>
  <si>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</si>
  <si>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</si>
  <si>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</si>
  <si>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</si>
  <si>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</si>
  <si>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</si>
  <si>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</si>
  <si>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</si>
  <si>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</si>
  <si>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</si>
  <si>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</si>
  <si>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</si>
  <si>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</si>
  <si>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</si>
  <si>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</si>
  <si>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</si>
  <si>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</si>
  <si>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</si>
  <si>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</si>
  <si>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</si>
  <si>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</si>
  <si>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</si>
  <si>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</si>
  <si>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</si>
  <si>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</si>
  <si>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</si>
  <si>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</si>
  <si>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</si>
  <si>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</si>
  <si>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</si>
  <si>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</si>
  <si>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</si>
  <si>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</si>
  <si>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</si>
  <si>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</si>
  <si>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</si>
  <si>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</si>
  <si>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</si>
  <si>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</si>
  <si>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</si>
  <si>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</si>
  <si>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</si>
  <si>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</si>
  <si>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</si>
  <si>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</si>
  <si>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</si>
  <si>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</si>
  <si>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</si>
  <si>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</si>
  <si>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</si>
  <si>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</si>
  <si>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</si>
  <si>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</si>
  <si>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</si>
  <si>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</si>
  <si>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</si>
  <si>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</si>
  <si>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</si>
  <si>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</si>
  <si>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</si>
  <si>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</si>
  <si>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</si>
  <si>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</si>
  <si>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</si>
  <si>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</si>
  <si>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</si>
  <si>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</si>
  <si>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</si>
  <si>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</si>
  <si>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</si>
  <si>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</si>
  <si>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</si>
  <si>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</si>
  <si>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</si>
  <si>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</si>
  <si>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</si>
  <si>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</si>
  <si>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</si>
  <si>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</si>
  <si>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</si>
  <si>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</si>
  <si>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</si>
  <si>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</si>
  <si>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</si>
  <si>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</si>
  <si>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</si>
  <si>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</si>
  <si>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</si>
  <si>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</si>
  <si>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</si>
  <si>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</si>
  <si>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</si>
  <si>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</si>
  <si>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</si>
  <si>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</si>
  <si>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</si>
  <si>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</si>
  <si>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</si>
  <si>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</si>
  <si>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</si>
  <si>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</si>
  <si>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</si>
  <si>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</si>
  <si>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</si>
  <si>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</si>
  <si>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</si>
  <si>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</si>
  <si>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</si>
  <si>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</si>
  <si>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</si>
  <si>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</si>
  <si>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</si>
  <si>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</si>
  <si>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</si>
  <si>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</si>
  <si>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</si>
  <si>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</si>
  <si>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</si>
  <si>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</si>
  <si>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</si>
  <si>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</si>
  <si>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</si>
  <si>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</si>
  <si>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</si>
  <si>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</si>
  <si>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</si>
  <si>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</si>
  <si>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</si>
  <si>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</si>
  <si>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</si>
  <si>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</si>
  <si>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</si>
  <si>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</si>
  <si>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</si>
  <si>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</si>
  <si>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</si>
  <si>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</si>
  <si>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</si>
  <si>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</si>
  <si>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</si>
  <si>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</si>
  <si>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</si>
  <si>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</si>
  <si>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</si>
  <si>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</si>
  <si>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</si>
  <si>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</si>
  <si>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</si>
  <si>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</si>
  <si>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</si>
  <si>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</si>
  <si>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</si>
  <si>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</si>
  <si>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</si>
  <si>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</si>
  <si>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</si>
  <si>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</si>
  <si>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</si>
  <si>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</si>
  <si>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</si>
  <si>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</si>
  <si>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</si>
  <si>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</si>
  <si>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</si>
  <si>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</si>
  <si>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</si>
  <si>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</si>
  <si>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</si>
  <si>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</si>
  <si>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</si>
  <si>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</si>
  <si>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</si>
  <si>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</si>
  <si>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</si>
  <si>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</si>
  <si>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</si>
  <si>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</si>
  <si>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</si>
  <si>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</si>
  <si>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</si>
  <si>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</si>
  <si>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</si>
  <si>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</si>
  <si>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</si>
  <si>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</si>
  <si>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</si>
  <si>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</si>
  <si>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</si>
  <si>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</si>
  <si>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</si>
  <si>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</si>
  <si>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</si>
  <si>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</si>
  <si>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</si>
  <si>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</si>
  <si>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</si>
  <si>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</si>
  <si>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</si>
  <si>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</si>
  <si>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</si>
  <si>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</si>
  <si>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</si>
  <si>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</si>
  <si>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</si>
  <si>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</si>
  <si>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</si>
  <si>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</si>
  <si>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</si>
  <si>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</si>
  <si>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</si>
  <si>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</si>
  <si>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</si>
  <si>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</si>
  <si>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</si>
  <si>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</si>
  <si>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</si>
  <si>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</si>
  <si>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</si>
  <si>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</si>
  <si>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</si>
  <si>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</si>
  <si>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</si>
  <si>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</si>
  <si>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</si>
  <si>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</si>
  <si>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</si>
  <si>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</si>
  <si>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</si>
  <si>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</si>
  <si>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</si>
  <si>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</si>
  <si>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</si>
  <si>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</si>
  <si>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</si>
  <si>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</si>
  <si>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</si>
  <si>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</si>
  <si>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</si>
  <si>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</si>
  <si>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</si>
  <si>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</si>
  <si>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</si>
  <si>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</si>
  <si>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</si>
  <si>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</si>
  <si>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</si>
  <si>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</si>
  <si>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</si>
  <si>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</si>
  <si>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</si>
  <si>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</si>
  <si>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</si>
  <si>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</si>
  <si>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</si>
  <si>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</si>
  <si>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</si>
  <si>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</si>
  <si>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</si>
  <si>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</si>
  <si>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</si>
  <si>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</si>
  <si>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</si>
  <si>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</si>
  <si>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</si>
  <si>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</si>
  <si>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</si>
  <si>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</si>
  <si>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</si>
  <si>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</si>
  <si>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</si>
  <si>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</si>
  <si>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</si>
  <si>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</si>
  <si>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</si>
  <si>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</si>
  <si>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</si>
  <si>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</si>
  <si>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</si>
  <si>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</si>
  <si>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</si>
  <si>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</si>
  <si>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</si>
  <si>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</si>
  <si>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</si>
  <si>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</si>
  <si>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</si>
  <si>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</si>
  <si>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</si>
  <si>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</si>
  <si>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</si>
  <si>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</si>
  <si>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</si>
  <si>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</si>
  <si>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</si>
  <si>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</si>
  <si>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</si>
  <si>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</si>
  <si>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</si>
  <si>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</si>
  <si>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</si>
  <si>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</si>
  <si>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</si>
  <si>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</si>
  <si>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</si>
  <si>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</si>
  <si>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</si>
  <si>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</si>
  <si>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</si>
  <si>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</si>
  <si>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</si>
  <si>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</si>
  <si>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</si>
  <si>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</si>
  <si>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</si>
  <si>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</si>
  <si>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</si>
  <si>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</si>
  <si>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</si>
  <si>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</si>
  <si>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</si>
  <si>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</si>
  <si>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</si>
  <si>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</si>
  <si>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</si>
  <si>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</si>
  <si>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</si>
  <si>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</si>
  <si>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</si>
  <si>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</si>
  <si>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</si>
  <si>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</si>
  <si>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</si>
  <si>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</si>
  <si>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</si>
  <si>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</si>
  <si>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</si>
  <si>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</si>
  <si>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</si>
  <si>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</si>
  <si>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</si>
  <si>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</si>
  <si>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</si>
  <si>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</si>
  <si>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</si>
  <si>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</si>
  <si>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</si>
  <si>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</si>
  <si>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</si>
  <si>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</si>
  <si>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</si>
  <si>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</si>
  <si>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</si>
  <si>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</si>
  <si>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</si>
  <si>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</si>
  <si>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</si>
  <si>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</si>
  <si>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</si>
  <si>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</si>
  <si>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</si>
  <si>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</si>
  <si>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</si>
  <si>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</si>
  <si>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</si>
  <si>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</si>
  <si>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</si>
  <si>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</si>
  <si>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</si>
  <si>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</si>
  <si>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</si>
  <si>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</si>
  <si>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</si>
  <si>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</si>
  <si>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</si>
  <si>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</si>
  <si>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</si>
  <si>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</si>
  <si>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</si>
  <si>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</si>
  <si>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</si>
  <si>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</si>
  <si>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</si>
  <si>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</si>
  <si>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</si>
  <si>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</si>
  <si>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</si>
  <si>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</si>
  <si>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</si>
  <si>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</si>
  <si>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</si>
  <si>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</si>
  <si>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</si>
  <si>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</si>
  <si>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</si>
  <si>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</si>
  <si>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</si>
  <si>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</si>
  <si>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</si>
  <si>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</si>
  <si>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</si>
  <si>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</si>
  <si>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</si>
  <si>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</si>
  <si>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</si>
  <si>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</si>
  <si>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</si>
  <si>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</si>
  <si>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</si>
  <si>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</si>
  <si>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</si>
  <si>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</si>
  <si>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</si>
  <si>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</si>
  <si>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</si>
  <si>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</si>
  <si>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</si>
  <si>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</si>
  <si>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</si>
  <si>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</si>
  <si>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</si>
  <si>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</si>
  <si>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</si>
  <si>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</si>
  <si>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</si>
  <si>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</si>
  <si>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</si>
  <si>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</si>
  <si>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</si>
  <si>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</si>
  <si>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</si>
  <si>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</si>
  <si>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</si>
  <si>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</si>
  <si>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</si>
  <si>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</si>
  <si>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</si>
  <si>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</si>
  <si>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</si>
  <si>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</si>
  <si>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</si>
  <si>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</si>
  <si>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</si>
  <si>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</si>
  <si>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</si>
  <si>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</si>
  <si>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</si>
  <si>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</si>
  <si>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</si>
  <si>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</si>
  <si>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</si>
  <si>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</si>
  <si>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</si>
  <si>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</si>
  <si>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</si>
  <si>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</si>
  <si>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</si>
  <si>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</si>
  <si>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</si>
  <si>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</si>
  <si>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</si>
  <si>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</si>
  <si>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</si>
  <si>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</si>
  <si>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</si>
  <si>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</si>
  <si>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</si>
  <si>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</si>
  <si>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</si>
  <si>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</si>
  <si>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</si>
  <si>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</si>
  <si>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</si>
  <si>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</si>
  <si>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</si>
  <si>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</si>
  <si>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</si>
  <si>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</si>
  <si>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</si>
  <si>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</si>
  <si>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</si>
  <si>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</si>
  <si>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</si>
  <si>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</si>
  <si>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</si>
  <si>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</si>
  <si>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</si>
  <si>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</si>
  <si>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</si>
  <si>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</si>
  <si>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</si>
  <si>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</si>
  <si>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</si>
  <si>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</si>
  <si>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</si>
  <si>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</si>
  <si>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</si>
  <si>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</si>
  <si>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</si>
  <si>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</si>
  <si>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</si>
  <si>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</si>
  <si>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</si>
  <si>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</si>
  <si>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</si>
  <si>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</si>
  <si>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</si>
  <si>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</si>
  <si>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</si>
  <si>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</si>
  <si>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</si>
  <si>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</si>
  <si>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</si>
  <si>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</si>
  <si>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</si>
  <si>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</si>
  <si>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</si>
  <si>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</si>
  <si>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</si>
  <si>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</si>
  <si>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</si>
  <si>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</si>
  <si>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</si>
  <si>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</si>
  <si>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</si>
  <si>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</si>
  <si>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</si>
  <si>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</si>
  <si>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</si>
  <si>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</si>
  <si>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</si>
  <si>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</si>
  <si>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</si>
  <si>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</si>
  <si>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</si>
  <si>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</si>
  <si>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</si>
  <si>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</si>
  <si>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</si>
  <si>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</si>
  <si>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</si>
  <si>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</si>
  <si>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</si>
  <si>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</si>
  <si>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</si>
  <si>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</si>
  <si>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</si>
  <si>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</si>
  <si>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</si>
  <si>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</si>
  <si>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</si>
  <si>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</si>
  <si>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</si>
  <si>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</si>
  <si>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</si>
  <si>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</si>
  <si>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</si>
  <si>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</si>
  <si>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</si>
  <si>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</si>
  <si>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</si>
  <si>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</si>
  <si>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</si>
  <si>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</si>
  <si>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</si>
  <si>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</si>
  <si>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</si>
  <si>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</si>
  <si>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</si>
  <si>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</si>
  <si>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</si>
  <si>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</si>
  <si>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</si>
  <si>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</si>
  <si>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</si>
  <si>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</si>
  <si>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</si>
  <si>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</si>
  <si>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</si>
  <si>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</si>
  <si>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</si>
  <si>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</si>
  <si>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</si>
  <si>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</si>
  <si>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</si>
  <si>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</si>
  <si>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</si>
  <si>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</si>
  <si>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</si>
  <si>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</si>
  <si>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</si>
  <si>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</si>
  <si>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</si>
  <si>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</si>
  <si>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</si>
  <si>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</si>
  <si>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</si>
  <si>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</si>
  <si>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</si>
  <si>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</si>
  <si>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</si>
  <si>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</si>
  <si>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</si>
  <si>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</si>
  <si>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</si>
  <si>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</si>
  <si>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</si>
  <si>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</si>
  <si>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</si>
  <si>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</si>
  <si>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</si>
  <si>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</si>
  <si>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</si>
  <si>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</si>
  <si>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</si>
  <si>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</si>
  <si>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</si>
  <si>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</si>
  <si>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</si>
  <si>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</si>
  <si>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</si>
  <si>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</si>
  <si>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</si>
  <si>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</si>
  <si>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</si>
  <si>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</si>
  <si>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</si>
  <si>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</si>
  <si>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</si>
  <si>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</si>
  <si>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</si>
  <si>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</si>
  <si>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</si>
  <si>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</si>
  <si>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</si>
  <si>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</si>
  <si>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</si>
  <si>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</si>
  <si>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</si>
  <si>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</si>
  <si>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</si>
  <si>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</si>
  <si>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</si>
  <si>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</si>
  <si>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</si>
  <si>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</si>
  <si>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</si>
  <si>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</si>
  <si>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</si>
  <si>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</si>
  <si>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</si>
  <si>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</si>
  <si>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</si>
  <si>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</si>
  <si>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</si>
  <si>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</si>
  <si>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</si>
  <si>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</si>
  <si>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</si>
  <si>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</si>
  <si>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</si>
  <si>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</si>
  <si>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</si>
  <si>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</si>
  <si>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</si>
  <si>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</si>
  <si>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</si>
  <si>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</si>
  <si>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</si>
  <si>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</si>
  <si>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</si>
  <si>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</si>
  <si>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</si>
  <si>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</si>
  <si>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</si>
  <si>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</si>
  <si>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</si>
  <si>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</si>
  <si>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</si>
  <si>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</si>
  <si>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</si>
  <si>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</si>
  <si>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</si>
  <si>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</si>
  <si>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</si>
  <si>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</si>
  <si>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</si>
  <si>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</si>
  <si>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</si>
  <si>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</si>
  <si>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</si>
  <si>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</si>
  <si>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</si>
  <si>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</si>
  <si>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</si>
  <si>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</si>
  <si>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</si>
  <si>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</si>
  <si>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</si>
  <si>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</si>
  <si>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</si>
  <si>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</si>
  <si>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</si>
  <si>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</si>
  <si>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</si>
  <si>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</si>
  <si>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</si>
  <si>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</si>
  <si>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</si>
  <si>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</si>
  <si>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</si>
  <si>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</si>
  <si>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</si>
  <si>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</si>
  <si>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</si>
  <si>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</si>
  <si>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</si>
  <si>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</si>
  <si>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</si>
  <si>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</si>
  <si>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</si>
  <si>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</si>
  <si>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</si>
  <si>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</si>
  <si>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</si>
  <si>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</si>
  <si>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</si>
  <si>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</si>
  <si>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</si>
  <si>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</si>
  <si>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</si>
  <si>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</si>
  <si>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</si>
  <si>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</si>
  <si>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</si>
  <si>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</si>
  <si>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</si>
  <si>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</si>
  <si>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</si>
  <si>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</si>
  <si>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</si>
  <si>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</si>
  <si>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</si>
  <si>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</si>
  <si>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</si>
  <si>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</si>
  <si>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</si>
  <si>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</si>
  <si>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</si>
  <si>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</si>
  <si>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</si>
  <si>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</si>
  <si>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</si>
  <si>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</si>
  <si>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</si>
  <si>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</si>
  <si>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</si>
  <si>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</si>
  <si>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</si>
  <si>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</si>
  <si>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</si>
  <si>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</si>
  <si>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</si>
  <si>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</si>
  <si>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</si>
  <si>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</si>
  <si>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</si>
  <si>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</si>
  <si>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</si>
  <si>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</si>
  <si>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</si>
  <si>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</si>
  <si>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</si>
  <si>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</si>
  <si>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</si>
  <si>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</si>
  <si>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</si>
  <si>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</si>
  <si>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</si>
  <si>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</si>
  <si>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</si>
  <si>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</si>
  <si>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</si>
  <si>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</si>
  <si>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</si>
  <si>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</si>
  <si>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</si>
  <si>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</si>
  <si>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</si>
  <si>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</si>
  <si>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</si>
  <si>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</si>
  <si>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</si>
  <si>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</si>
  <si>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</si>
  <si>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</si>
  <si>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</si>
  <si>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</si>
  <si>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</si>
  <si>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</si>
  <si>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</si>
  <si>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</si>
  <si>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</si>
  <si>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</si>
  <si>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</si>
  <si>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</si>
  <si>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</si>
  <si>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</si>
  <si>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</si>
  <si>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</si>
  <si>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</si>
  <si>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</si>
  <si>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</si>
  <si>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</si>
  <si>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</si>
  <si>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</si>
  <si>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</si>
  <si>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</si>
  <si>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</si>
  <si>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</si>
  <si>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</si>
  <si>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</si>
  <si>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</si>
  <si>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</si>
  <si>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</si>
  <si>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</si>
  <si>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</si>
  <si>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</si>
  <si>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</si>
  <si>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</si>
  <si>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</si>
  <si>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</si>
  <si>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</si>
  <si>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</si>
  <si>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</si>
  <si>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</si>
  <si>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</si>
  <si>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</si>
  <si>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</si>
  <si>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</si>
  <si>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</si>
  <si>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</si>
  <si>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</si>
  <si>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</si>
  <si>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</si>
  <si>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</si>
  <si>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</si>
  <si>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</si>
  <si>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</si>
  <si>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</si>
  <si>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</si>
  <si>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</si>
  <si>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</si>
  <si>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</si>
  <si>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</si>
  <si>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</si>
  <si>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</si>
  <si>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</si>
  <si>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</si>
  <si>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</si>
  <si>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</si>
  <si>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</si>
  <si>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</si>
  <si>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</si>
  <si>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</si>
  <si>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</si>
  <si>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</si>
  <si>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</si>
  <si>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</si>
  <si>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</si>
  <si>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</si>
  <si>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</si>
  <si>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</si>
  <si>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</si>
  <si>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</si>
  <si>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</si>
  <si>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</si>
  <si>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</si>
  <si>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</si>
  <si>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</si>
  <si>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</si>
  <si>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</si>
  <si>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</si>
  <si>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</si>
  <si>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</si>
  <si>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</si>
  <si>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</si>
  <si>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</si>
  <si>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</si>
  <si>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</si>
  <si>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</si>
  <si>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</si>
  <si>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</si>
  <si>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</si>
  <si>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</si>
  <si>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</si>
  <si>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</si>
  <si>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</si>
  <si>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</si>
  <si>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</si>
  <si>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</si>
  <si>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</si>
  <si>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</si>
  <si>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</si>
  <si>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</si>
  <si>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</si>
  <si>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</si>
  <si>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</si>
  <si>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</si>
  <si>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</si>
  <si>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</si>
  <si>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</si>
  <si>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</si>
  <si>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</si>
  <si>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</si>
  <si>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</si>
  <si>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</si>
  <si>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</si>
  <si>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</si>
  <si>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</si>
  <si>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</si>
  <si>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</si>
  <si>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</si>
  <si>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</si>
  <si>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</si>
  <si>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</si>
  <si>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</si>
  <si>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</si>
  <si>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</si>
  <si>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</si>
  <si>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</si>
  <si>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</si>
  <si>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</si>
  <si>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</si>
  <si>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</si>
  <si>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</si>
  <si>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</si>
  <si>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</si>
  <si>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</si>
  <si>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</si>
  <si>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</si>
  <si>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</si>
  <si>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</si>
  <si>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</si>
  <si>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</si>
  <si>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</si>
  <si>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</si>
  <si>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</si>
  <si>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</si>
  <si>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</si>
  <si>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</si>
  <si>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</si>
  <si>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</si>
  <si>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</si>
  <si>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</si>
  <si>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</si>
  <si>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</si>
  <si>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</si>
  <si>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</si>
  <si>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</si>
  <si>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</si>
  <si>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</si>
  <si>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</si>
  <si>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</si>
  <si>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</si>
  <si>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</si>
  <si>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</si>
  <si>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</si>
  <si>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</si>
  <si>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</si>
  <si>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</si>
  <si>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</si>
  <si>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</si>
  <si>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</si>
  <si>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</si>
  <si>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</si>
  <si>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</si>
  <si>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</si>
  <si>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</si>
  <si>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</si>
  <si>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</si>
  <si>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</si>
  <si>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</si>
  <si>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</si>
  <si>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</si>
  <si>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</si>
  <si>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</si>
  <si>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</si>
  <si>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</si>
  <si>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</si>
  <si>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</si>
  <si>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</si>
  <si>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</si>
  <si>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</si>
  <si>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</si>
  <si>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</si>
  <si>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</si>
  <si>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</si>
  <si>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</si>
  <si>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</si>
  <si>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</si>
  <si>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</si>
  <si>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</si>
  <si>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</si>
  <si>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</si>
  <si>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</si>
  <si>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</si>
  <si>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</si>
  <si>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</si>
  <si>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</si>
  <si>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</si>
  <si>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</si>
  <si>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</si>
  <si>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</si>
  <si>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</si>
  <si>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</si>
  <si>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</si>
  <si>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</si>
  <si>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</si>
  <si>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</si>
  <si>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</si>
  <si>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</si>
  <si>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</si>
  <si>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</si>
  <si>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</si>
  <si>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</si>
  <si>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</si>
  <si>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</si>
  <si>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</si>
  <si>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</si>
  <si>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</si>
  <si>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</si>
  <si>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</si>
  <si>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</si>
  <si>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</si>
  <si>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</si>
  <si>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</si>
  <si>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</si>
  <si>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</si>
  <si>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</si>
  <si>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</si>
  <si>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</si>
  <si>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</si>
  <si>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</si>
  <si>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</si>
  <si>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</si>
  <si>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</si>
  <si>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</si>
  <si>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</si>
  <si>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</si>
  <si>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</si>
  <si>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</si>
  <si>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</si>
  <si>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</si>
  <si>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</si>
  <si>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</si>
  <si>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</si>
  <si>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</si>
  <si>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</si>
  <si>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</si>
  <si>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</si>
  <si>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</si>
  <si>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</si>
  <si>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</si>
  <si>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</si>
  <si>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</si>
  <si>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</si>
  <si>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</si>
  <si>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</si>
  <si>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</si>
  <si>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</si>
  <si>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</si>
  <si>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</si>
  <si>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</si>
  <si>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</si>
  <si>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</si>
  <si>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</si>
  <si>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</si>
  <si>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</si>
  <si>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</si>
  <si>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</si>
  <si>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</si>
  <si>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</si>
  <si>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</si>
  <si>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</si>
  <si>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</si>
  <si>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</si>
  <si>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</si>
  <si>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</si>
  <si>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</si>
  <si>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</si>
  <si>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</si>
  <si>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</si>
  <si>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</si>
  <si>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</si>
  <si>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</si>
  <si>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</si>
  <si>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</si>
  <si>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</si>
  <si>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</si>
  <si>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</si>
  <si>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</si>
  <si>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</si>
  <si>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</si>
  <si>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</si>
  <si>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</si>
  <si>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</si>
  <si>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</si>
  <si>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</si>
  <si>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</si>
  <si>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</si>
  <si>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</si>
  <si>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</si>
  <si>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</si>
  <si>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</si>
  <si>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</si>
  <si>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</si>
  <si>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</si>
  <si>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</si>
  <si>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</si>
  <si>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</si>
  <si>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</si>
  <si>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</si>
  <si>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</si>
  <si>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</si>
  <si>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</si>
  <si>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</si>
  <si>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</si>
  <si>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</si>
  <si>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</si>
  <si>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</si>
  <si>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</si>
  <si>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</si>
  <si>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</si>
  <si>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</si>
  <si>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</si>
  <si>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</si>
  <si>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</si>
  <si>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</si>
  <si>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</si>
  <si>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</si>
  <si>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</si>
  <si>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</si>
  <si>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</si>
  <si>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</si>
  <si>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</si>
  <si>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</si>
  <si>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</si>
  <si>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</si>
  <si>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</si>
  <si>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</si>
  <si>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</si>
  <si>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</si>
  <si>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</si>
  <si>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</si>
  <si>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</si>
  <si>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</si>
  <si>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</si>
  <si>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</si>
  <si>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</si>
  <si>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</si>
  <si>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</si>
  <si>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</si>
  <si>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</si>
  <si>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</si>
  <si>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</si>
  <si>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</si>
  <si>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</si>
  <si>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</si>
  <si>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</si>
  <si>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</si>
  <si>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</si>
  <si>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</si>
  <si>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</si>
  <si>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</si>
  <si>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</si>
  <si>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</si>
  <si>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</si>
  <si>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</si>
  <si>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</si>
  <si>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</si>
  <si>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</si>
  <si>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</si>
  <si>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</si>
  <si>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</si>
  <si>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</si>
  <si>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</si>
  <si>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</si>
  <si>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</si>
  <si>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</si>
  <si>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</si>
  <si>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</si>
  <si>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</si>
  <si>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</si>
  <si>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</si>
  <si>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</si>
  <si>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</si>
  <si>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</si>
  <si>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</si>
  <si>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</si>
  <si>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</si>
  <si>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</si>
  <si>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</si>
  <si>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</si>
  <si>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</si>
  <si>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</si>
  <si>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</si>
  <si>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</si>
  <si>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</si>
  <si>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</si>
  <si>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</si>
  <si>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</si>
  <si>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</si>
  <si>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</si>
  <si>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</si>
  <si>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</si>
  <si>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</si>
  <si>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</si>
  <si>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</si>
  <si>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</si>
  <si>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</si>
  <si>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</si>
  <si>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</si>
  <si>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</si>
  <si>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</si>
  <si>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</si>
  <si>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</si>
  <si>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</si>
  <si>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</si>
  <si>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</si>
  <si>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</si>
  <si>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</si>
  <si>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</si>
  <si>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</si>
  <si>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</si>
  <si>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</si>
  <si>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</si>
  <si>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</si>
  <si>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</si>
  <si>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</si>
  <si>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</si>
  <si>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</si>
  <si>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</si>
  <si>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</si>
  <si>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</si>
  <si>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</si>
  <si>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</si>
  <si>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</si>
  <si>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</si>
  <si>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</si>
  <si>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</si>
  <si>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</si>
  <si>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</si>
  <si>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</si>
  <si>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</si>
  <si>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</si>
  <si>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</si>
  <si>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</si>
  <si>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</si>
  <si>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</si>
  <si>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</si>
  <si>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</si>
  <si>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</si>
  <si>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</si>
  <si>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</si>
  <si>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</si>
  <si>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</si>
  <si>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</si>
  <si>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</si>
  <si>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</si>
  <si>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</si>
  <si>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</si>
  <si>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</si>
  <si>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</si>
  <si>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</si>
  <si>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</si>
  <si>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</si>
  <si>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</si>
  <si>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</si>
  <si>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</si>
  <si>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</si>
  <si>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</si>
  <si>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</si>
  <si>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</si>
  <si>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</si>
  <si>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</si>
  <si>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</si>
  <si>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</si>
  <si>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</si>
  <si>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</si>
  <si>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</si>
  <si>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</si>
  <si>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</si>
  <si>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</si>
  <si>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</si>
  <si>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</si>
  <si>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</si>
  <si>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</si>
  <si>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</si>
  <si>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</si>
  <si>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</si>
  <si>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</si>
  <si>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</si>
  <si>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</si>
  <si>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</si>
  <si>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</si>
  <si>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</si>
  <si>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</si>
  <si>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</si>
  <si>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</si>
  <si>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</si>
  <si>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</si>
  <si>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</si>
  <si>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</si>
  <si>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</si>
  <si>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</si>
  <si>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</si>
  <si>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</si>
  <si>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</si>
  <si>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</si>
  <si>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</si>
  <si>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</si>
  <si>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</si>
  <si>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</si>
  <si>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</si>
  <si>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</si>
  <si>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</si>
  <si>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</si>
  <si>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</si>
  <si>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</si>
  <si>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</si>
  <si>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</si>
  <si>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</si>
  <si>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</si>
  <si>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</si>
  <si>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</si>
  <si>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</si>
  <si>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</si>
  <si>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</si>
  <si>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</si>
  <si>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</si>
  <si>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</si>
  <si>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</si>
  <si>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</si>
  <si>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</si>
  <si>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</si>
  <si>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</si>
  <si>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</si>
  <si>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</si>
  <si>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</si>
  <si>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</si>
  <si>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</si>
  <si>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</si>
  <si>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</si>
  <si>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</si>
  <si>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</si>
  <si>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</si>
  <si>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</si>
  <si>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</si>
  <si>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</si>
  <si>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</si>
  <si>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</si>
  <si>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</si>
  <si>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</si>
  <si>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</si>
  <si>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</si>
  <si>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</si>
  <si>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</si>
  <si>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</si>
  <si>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</si>
  <si>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</si>
  <si>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</si>
  <si>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</si>
  <si>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</si>
  <si>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</si>
  <si>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</si>
  <si>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</si>
  <si>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</si>
  <si>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</si>
  <si>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</si>
  <si>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</si>
  <si>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</si>
  <si>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</si>
  <si>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</si>
  <si>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</si>
  <si>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</si>
  <si>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</si>
  <si>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</si>
  <si>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</si>
  <si>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</si>
  <si>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</si>
  <si>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</si>
  <si>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</si>
  <si>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</si>
  <si>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</si>
  <si>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</si>
  <si>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</si>
  <si>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</si>
  <si>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</si>
  <si>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</si>
  <si>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</si>
  <si>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</si>
  <si>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</si>
  <si>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</si>
  <si>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</si>
  <si>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</si>
  <si>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</si>
  <si>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</si>
  <si>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</si>
  <si>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</si>
  <si>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</si>
  <si>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</si>
  <si>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</si>
  <si>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</si>
  <si>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</si>
  <si>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</si>
  <si>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</si>
  <si>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</si>
  <si>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</si>
  <si>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</si>
  <si>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</si>
  <si>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</si>
  <si>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</si>
  <si>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</si>
  <si>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</si>
  <si>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</si>
  <si>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</si>
  <si>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</si>
  <si>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</si>
  <si>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</si>
  <si>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</si>
  <si>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</si>
  <si>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</si>
  <si>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</si>
  <si>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住宅/居住</t>
  </si>
  <si>
    <t>钢混</t>
  </si>
  <si>
    <t>地上</t>
  </si>
  <si>
    <t>居住用地（指二类居住用地）</t>
  </si>
  <si>
    <t>设定容积率</t>
  </si>
  <si>
    <t>与级别开发程度一致</t>
  </si>
  <si>
    <t>较好</t>
  </si>
  <si>
    <t>好</t>
  </si>
  <si>
    <t>七通一平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</si>
</sst>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0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36" fillId="9" borderId="1" xfId="0" applyFont="1" applyFill="1" applyBorder="1" applyAlignment="1" applyProtection="1">
      <alignment horizontal="center" vertical="center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84" fillId="0" borderId="0" xfId="8" applyFont="1" applyAlignment="1">
      <alignment horizontal="left" vertical="center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44140625" defaultRowHeight="15.6"/>
  <cols>
    <col min="1" max="1" width="14.44140625" style="173" customWidth="1"/>
    <col min="2" max="2" width="20.77734375" style="171" customWidth="1"/>
    <col min="3" max="16384" width="14.44140625" style="171"/>
  </cols>
  <sheetData>
    <row r="1" spans="1:7" s="169" customFormat="1" ht="17.399999999999999">
      <c r="A1" s="168" t="s">
        <v>173</v>
      </c>
    </row>
    <row r="3" spans="1:7">
      <c r="A3" s="170" t="s">
        <v>161</v>
      </c>
      <c r="B3" s="171" t="s">
        <v>162</v>
      </c>
      <c r="G3" s="172"/>
    </row>
    <row r="4" spans="1:7">
      <c r="G4" s="172"/>
    </row>
    <row r="5" spans="1:7">
      <c r="A5" s="174" t="s">
        <v>157</v>
      </c>
      <c r="B5" s="171" t="s">
        <v>163</v>
      </c>
      <c r="G5" s="172"/>
    </row>
    <row r="6" spans="1:7">
      <c r="G6" s="172"/>
    </row>
    <row r="7" spans="1:7">
      <c r="A7" s="175" t="s">
        <v>248</v>
      </c>
      <c r="B7" s="171" t="s">
        <v>164</v>
      </c>
      <c r="G7" s="172"/>
    </row>
    <row r="8" spans="1:7">
      <c r="G8" s="172"/>
    </row>
    <row r="9" spans="1:7">
      <c r="A9" s="176" t="s">
        <v>158</v>
      </c>
      <c r="B9" s="171" t="s">
        <v>165</v>
      </c>
    </row>
    <row r="11" spans="1:7">
      <c r="A11" s="177" t="s">
        <v>159</v>
      </c>
      <c r="B11" s="178" t="s">
        <v>156</v>
      </c>
    </row>
    <row r="13" spans="1:7">
      <c r="A13" s="179" t="s">
        <v>166</v>
      </c>
    </row>
    <row r="15" spans="1:7" ht="14.4">
      <c r="A15" s="1768" t="s">
        <v>167</v>
      </c>
      <c r="B15" s="647" t="s">
        <v>249</v>
      </c>
    </row>
    <row r="16" spans="1:7" ht="14.4">
      <c r="A16" s="1769"/>
      <c r="B16" s="648" t="s">
        <v>168</v>
      </c>
    </row>
    <row r="17" spans="1:2" ht="14.4">
      <c r="A17" s="180" t="s">
        <v>169</v>
      </c>
      <c r="B17" s="649"/>
    </row>
    <row r="18" spans="1:2" ht="14.4">
      <c r="A18" s="1767" t="s">
        <v>170</v>
      </c>
      <c r="B18" s="647" t="s">
        <v>1386</v>
      </c>
    </row>
    <row r="19" spans="1:2" ht="14.4">
      <c r="A19" s="1767"/>
      <c r="B19" s="647" t="s">
        <v>1387</v>
      </c>
    </row>
    <row r="20" spans="1:2" ht="14.4">
      <c r="A20" s="1767"/>
      <c r="B20" s="647" t="s">
        <v>1388</v>
      </c>
    </row>
    <row r="21" spans="1:2" ht="14.4">
      <c r="A21" s="1767"/>
      <c r="B21" s="499" t="s">
        <v>171</v>
      </c>
    </row>
    <row r="22" spans="1:2" ht="14.4">
      <c r="A22" s="1767"/>
      <c r="B22" s="499" t="s">
        <v>172</v>
      </c>
    </row>
    <row r="23" spans="1:2">
      <c r="A23" s="181" t="s">
        <v>160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style="246" customWidth="1"/>
    <col min="2" max="9" width="8.21875" style="323" customWidth="1"/>
    <col min="10" max="13" width="8.21875" style="246"/>
    <col min="14" max="14" width="10" style="246" customWidth="1"/>
    <col min="15" max="16" width="8.21875" style="246"/>
    <col min="17" max="17" width="34.109375" style="246" customWidth="1"/>
    <col min="18" max="18" width="8.21875" style="246" customWidth="1"/>
    <col min="19" max="19" width="8.21875" style="246"/>
    <col min="20" max="20" width="11.6640625" style="246" customWidth="1"/>
    <col min="21" max="16384" width="8.21875" style="246"/>
  </cols>
  <sheetData>
    <row r="1" spans="1:13" ht="19.5" customHeight="1" thickBot="1">
      <c r="A1" s="302" t="s">
        <v>685</v>
      </c>
      <c r="B1" s="268" t="s">
        <v>289</v>
      </c>
      <c r="C1" s="268" t="s">
        <v>290</v>
      </c>
      <c r="D1" s="268" t="s">
        <v>291</v>
      </c>
      <c r="E1" s="268" t="s">
        <v>292</v>
      </c>
      <c r="F1" s="268" t="s">
        <v>293</v>
      </c>
      <c r="G1" s="268" t="s">
        <v>294</v>
      </c>
      <c r="H1" s="268" t="s">
        <v>295</v>
      </c>
      <c r="I1" s="268" t="s">
        <v>296</v>
      </c>
      <c r="J1" s="268" t="s">
        <v>297</v>
      </c>
      <c r="K1" s="268" t="s">
        <v>298</v>
      </c>
      <c r="L1" s="268" t="s">
        <v>299</v>
      </c>
      <c r="M1" s="269" t="s">
        <v>300</v>
      </c>
    </row>
    <row r="2" spans="1:13" ht="19.5" customHeight="1">
      <c r="A2" s="303" t="s">
        <v>315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1301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1302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316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686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687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688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689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690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691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692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693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694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1755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695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696</v>
      </c>
      <c r="B17" s="324" t="s">
        <v>697</v>
      </c>
      <c r="C17" s="386" t="s">
        <v>967</v>
      </c>
      <c r="D17" s="325"/>
      <c r="E17" s="248" t="s">
        <v>698</v>
      </c>
      <c r="F17" s="326"/>
      <c r="G17" s="326"/>
    </row>
    <row r="18" spans="1:9" s="332" customFormat="1" ht="19.5" customHeight="1">
      <c r="A18" s="1817" t="s">
        <v>315</v>
      </c>
      <c r="B18" s="327" t="s">
        <v>699</v>
      </c>
      <c r="C18" s="328" t="s">
        <v>700</v>
      </c>
      <c r="D18" s="329"/>
      <c r="E18" s="327">
        <v>1</v>
      </c>
      <c r="F18" s="330" t="s">
        <v>701</v>
      </c>
      <c r="G18" s="331"/>
      <c r="H18" s="323"/>
      <c r="I18" s="323"/>
    </row>
    <row r="19" spans="1:9" s="332" customFormat="1" ht="19.5" customHeight="1">
      <c r="A19" s="1817"/>
      <c r="B19" s="1817" t="s">
        <v>702</v>
      </c>
      <c r="C19" s="328" t="s">
        <v>703</v>
      </c>
      <c r="D19" s="329"/>
      <c r="E19" s="327">
        <v>0.9</v>
      </c>
      <c r="F19" s="330" t="s">
        <v>704</v>
      </c>
      <c r="G19" s="331"/>
      <c r="H19" s="323"/>
      <c r="I19" s="323"/>
    </row>
    <row r="20" spans="1:9" s="332" customFormat="1" ht="19.5" customHeight="1">
      <c r="A20" s="1817"/>
      <c r="B20" s="1817"/>
      <c r="C20" s="328" t="s">
        <v>705</v>
      </c>
      <c r="D20" s="329"/>
      <c r="E20" s="327">
        <v>1.1000000000000001</v>
      </c>
      <c r="F20" s="330" t="s">
        <v>706</v>
      </c>
      <c r="G20" s="331"/>
      <c r="H20" s="323"/>
      <c r="I20" s="323"/>
    </row>
    <row r="21" spans="1:9" s="332" customFormat="1" ht="19.5" customHeight="1">
      <c r="A21" s="1817"/>
      <c r="B21" s="1817"/>
      <c r="C21" s="328" t="s">
        <v>707</v>
      </c>
      <c r="D21" s="329"/>
      <c r="E21" s="327">
        <v>0.8</v>
      </c>
      <c r="F21" s="330" t="s">
        <v>708</v>
      </c>
      <c r="G21" s="331"/>
      <c r="H21" s="323"/>
      <c r="I21" s="323"/>
    </row>
    <row r="22" spans="1:9" s="332" customFormat="1" ht="19.5" customHeight="1">
      <c r="A22" s="1817"/>
      <c r="B22" s="1817"/>
      <c r="C22" s="328" t="s">
        <v>709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17" t="s">
        <v>1301</v>
      </c>
      <c r="B23" s="327" t="s">
        <v>699</v>
      </c>
      <c r="C23" s="328" t="s">
        <v>710</v>
      </c>
      <c r="D23" s="329"/>
      <c r="E23" s="327">
        <v>1</v>
      </c>
      <c r="F23" s="330" t="s">
        <v>711</v>
      </c>
      <c r="G23" s="331"/>
      <c r="H23" s="323"/>
      <c r="I23" s="323"/>
    </row>
    <row r="24" spans="1:9" s="332" customFormat="1" ht="19.5" customHeight="1">
      <c r="A24" s="1817"/>
      <c r="B24" s="1817" t="s">
        <v>702</v>
      </c>
      <c r="C24" s="328" t="s">
        <v>712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17"/>
      <c r="B25" s="1817"/>
      <c r="C25" s="328" t="s">
        <v>713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17"/>
      <c r="B26" s="1817"/>
      <c r="C26" s="328" t="s">
        <v>714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17"/>
      <c r="B27" s="1817"/>
      <c r="C27" s="328" t="s">
        <v>715</v>
      </c>
      <c r="D27" s="329"/>
      <c r="E27" s="327">
        <v>0.9</v>
      </c>
      <c r="F27" s="330" t="s">
        <v>716</v>
      </c>
      <c r="G27" s="331"/>
      <c r="H27" s="323"/>
      <c r="I27" s="323"/>
    </row>
    <row r="28" spans="1:9" s="332" customFormat="1" ht="19.5" customHeight="1">
      <c r="A28" s="1817"/>
      <c r="B28" s="1817"/>
      <c r="C28" s="328" t="s">
        <v>717</v>
      </c>
      <c r="D28" s="329"/>
      <c r="E28" s="327">
        <v>0.9</v>
      </c>
      <c r="F28" s="330" t="s">
        <v>718</v>
      </c>
      <c r="G28" s="331"/>
      <c r="H28" s="323"/>
      <c r="I28" s="323"/>
    </row>
    <row r="29" spans="1:9" s="332" customFormat="1" ht="19.5" customHeight="1">
      <c r="A29" s="1817"/>
      <c r="B29" s="1817"/>
      <c r="C29" s="328" t="s">
        <v>719</v>
      </c>
      <c r="D29" s="329"/>
      <c r="E29" s="327">
        <v>0.9</v>
      </c>
      <c r="F29" s="330" t="s">
        <v>720</v>
      </c>
      <c r="G29" s="331"/>
      <c r="H29" s="323"/>
      <c r="I29" s="323"/>
    </row>
    <row r="30" spans="1:9" s="332" customFormat="1" ht="19.5" customHeight="1">
      <c r="A30" s="1817"/>
      <c r="B30" s="1817"/>
      <c r="C30" s="328" t="s">
        <v>721</v>
      </c>
      <c r="D30" s="329"/>
      <c r="E30" s="327">
        <v>0.9</v>
      </c>
      <c r="F30" s="330" t="s">
        <v>722</v>
      </c>
      <c r="G30" s="331"/>
      <c r="H30" s="323"/>
      <c r="I30" s="323"/>
    </row>
    <row r="31" spans="1:9" s="332" customFormat="1" ht="19.5" customHeight="1">
      <c r="A31" s="1817"/>
      <c r="B31" s="1817"/>
      <c r="C31" s="328" t="s">
        <v>723</v>
      </c>
      <c r="D31" s="329"/>
      <c r="E31" s="327">
        <v>0.8</v>
      </c>
      <c r="F31" s="330" t="s">
        <v>724</v>
      </c>
      <c r="G31" s="331"/>
      <c r="H31" s="323"/>
      <c r="I31" s="323"/>
    </row>
    <row r="32" spans="1:9" s="332" customFormat="1" ht="19.5" customHeight="1">
      <c r="A32" s="1817"/>
      <c r="B32" s="1817"/>
      <c r="C32" s="328" t="s">
        <v>725</v>
      </c>
      <c r="D32" s="329"/>
      <c r="E32" s="327">
        <v>0.8</v>
      </c>
      <c r="F32" s="330" t="s">
        <v>726</v>
      </c>
      <c r="G32" s="331"/>
      <c r="H32" s="323"/>
      <c r="I32" s="323"/>
    </row>
    <row r="33" spans="1:9" s="332" customFormat="1" ht="19.5" customHeight="1">
      <c r="A33" s="1817" t="s">
        <v>1300</v>
      </c>
      <c r="B33" s="327" t="s">
        <v>699</v>
      </c>
      <c r="C33" s="328" t="s">
        <v>727</v>
      </c>
      <c r="D33" s="329"/>
      <c r="E33" s="327">
        <v>1</v>
      </c>
      <c r="F33" s="330" t="s">
        <v>728</v>
      </c>
      <c r="G33" s="331"/>
      <c r="H33" s="323"/>
      <c r="I33" s="323"/>
    </row>
    <row r="34" spans="1:9" s="332" customFormat="1" ht="19.5" customHeight="1">
      <c r="A34" s="1817"/>
      <c r="B34" s="327" t="s">
        <v>702</v>
      </c>
      <c r="C34" s="328" t="s">
        <v>729</v>
      </c>
      <c r="D34" s="329"/>
      <c r="E34" s="327">
        <v>1.5</v>
      </c>
      <c r="F34" s="330" t="s">
        <v>730</v>
      </c>
      <c r="G34" s="331"/>
      <c r="H34" s="323"/>
      <c r="I34" s="323"/>
    </row>
    <row r="35" spans="1:9" s="332" customFormat="1" ht="19.5" customHeight="1">
      <c r="A35" s="1817" t="s">
        <v>316</v>
      </c>
      <c r="B35" s="327" t="s">
        <v>699</v>
      </c>
      <c r="C35" s="328" t="s">
        <v>731</v>
      </c>
      <c r="D35" s="329"/>
      <c r="E35" s="327">
        <v>1</v>
      </c>
      <c r="F35" s="330" t="s">
        <v>732</v>
      </c>
      <c r="G35" s="331"/>
      <c r="H35" s="323"/>
      <c r="I35" s="323"/>
    </row>
    <row r="36" spans="1:9" s="332" customFormat="1" ht="19.5" customHeight="1">
      <c r="A36" s="1817"/>
      <c r="B36" s="1817" t="s">
        <v>702</v>
      </c>
      <c r="C36" s="328" t="s">
        <v>733</v>
      </c>
      <c r="D36" s="329"/>
      <c r="E36" s="327">
        <v>1</v>
      </c>
      <c r="F36" s="330" t="s">
        <v>734</v>
      </c>
      <c r="G36" s="331"/>
      <c r="H36" s="323"/>
      <c r="I36" s="323"/>
    </row>
    <row r="37" spans="1:9" s="332" customFormat="1" ht="19.5" customHeight="1">
      <c r="A37" s="1817"/>
      <c r="B37" s="1817"/>
      <c r="C37" s="328" t="s">
        <v>735</v>
      </c>
      <c r="D37" s="329"/>
      <c r="E37" s="327">
        <v>1.5</v>
      </c>
      <c r="F37" s="330" t="s">
        <v>736</v>
      </c>
      <c r="G37" s="331"/>
      <c r="H37" s="323"/>
      <c r="I37" s="323"/>
    </row>
    <row r="38" spans="1:9" s="332" customFormat="1" ht="19.5" customHeight="1">
      <c r="A38" s="1817"/>
      <c r="B38" s="1817"/>
      <c r="C38" s="328" t="s">
        <v>737</v>
      </c>
      <c r="D38" s="329"/>
      <c r="E38" s="327">
        <v>1</v>
      </c>
      <c r="F38" s="330" t="s">
        <v>738</v>
      </c>
      <c r="G38" s="331"/>
      <c r="H38" s="323"/>
      <c r="I38" s="323"/>
    </row>
    <row r="39" spans="1:9" s="332" customFormat="1" ht="19.5" customHeight="1">
      <c r="A39" s="1817"/>
      <c r="B39" s="1817"/>
      <c r="C39" s="328" t="s">
        <v>739</v>
      </c>
      <c r="D39" s="329"/>
      <c r="E39" s="327">
        <v>1</v>
      </c>
      <c r="F39" s="330" t="s">
        <v>740</v>
      </c>
      <c r="G39" s="331"/>
      <c r="H39" s="323"/>
      <c r="I39" s="323"/>
    </row>
    <row r="40" spans="1:9" s="332" customFormat="1" ht="19.5" customHeight="1">
      <c r="A40" s="333" t="s">
        <v>741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742</v>
      </c>
      <c r="C42" s="248" t="s">
        <v>742</v>
      </c>
      <c r="D42" s="248" t="s">
        <v>742</v>
      </c>
      <c r="E42" s="257" t="s">
        <v>742</v>
      </c>
      <c r="F42" s="257" t="s">
        <v>742</v>
      </c>
      <c r="G42" s="257" t="s">
        <v>743</v>
      </c>
      <c r="H42" s="257" t="s">
        <v>742</v>
      </c>
    </row>
    <row r="43" spans="1:9" ht="19.5" customHeight="1">
      <c r="A43" s="336"/>
      <c r="B43" s="257" t="s">
        <v>315</v>
      </c>
      <c r="C43" s="257" t="s">
        <v>315</v>
      </c>
      <c r="D43" s="257" t="s">
        <v>315</v>
      </c>
      <c r="E43" s="257" t="s">
        <v>315</v>
      </c>
      <c r="F43" s="248" t="s">
        <v>1303</v>
      </c>
      <c r="G43" s="248" t="s">
        <v>316</v>
      </c>
      <c r="H43" s="248" t="s">
        <v>744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745</v>
      </c>
      <c r="G44" s="325" t="s">
        <v>745</v>
      </c>
      <c r="H44" s="325" t="s">
        <v>745</v>
      </c>
    </row>
    <row r="45" spans="1:9" ht="19.5" customHeight="1">
      <c r="A45" s="338" t="s">
        <v>289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290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291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292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293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294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295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296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297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298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299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300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746</v>
      </c>
      <c r="E58" s="321"/>
      <c r="F58" s="321"/>
    </row>
    <row r="59" spans="1:8" s="323" customFormat="1" ht="19.5" customHeight="1">
      <c r="A59" s="327" t="s">
        <v>747</v>
      </c>
      <c r="B59" s="327" t="s">
        <v>748</v>
      </c>
      <c r="C59" s="327" t="s">
        <v>749</v>
      </c>
      <c r="D59" s="327" t="s">
        <v>750</v>
      </c>
      <c r="E59" s="327" t="s">
        <v>751</v>
      </c>
      <c r="F59" s="327" t="s">
        <v>752</v>
      </c>
    </row>
    <row r="60" spans="1:8" ht="14.4">
      <c r="A60" s="391"/>
      <c r="B60" s="391"/>
      <c r="C60" s="391" t="s">
        <v>884</v>
      </c>
      <c r="D60" s="391"/>
      <c r="E60" s="340" t="s">
        <v>1</v>
      </c>
      <c r="F60" s="391" t="s">
        <v>1</v>
      </c>
    </row>
    <row r="61" spans="1:8" s="323" customFormat="1" ht="36">
      <c r="A61" s="327">
        <v>1</v>
      </c>
      <c r="B61" s="1817" t="s">
        <v>753</v>
      </c>
      <c r="C61" s="248" t="s">
        <v>754</v>
      </c>
      <c r="D61" s="248" t="s">
        <v>755</v>
      </c>
      <c r="E61" s="340">
        <v>0.5</v>
      </c>
      <c r="F61" s="327">
        <v>80</v>
      </c>
    </row>
    <row r="62" spans="1:8" s="323" customFormat="1" ht="36">
      <c r="A62" s="327">
        <v>2</v>
      </c>
      <c r="B62" s="1817"/>
      <c r="C62" s="248" t="s">
        <v>756</v>
      </c>
      <c r="D62" s="248" t="s">
        <v>757</v>
      </c>
      <c r="E62" s="340">
        <v>0.5</v>
      </c>
      <c r="F62" s="327">
        <v>80</v>
      </c>
    </row>
    <row r="63" spans="1:8" s="323" customFormat="1" ht="48">
      <c r="A63" s="327">
        <v>3</v>
      </c>
      <c r="B63" s="1817"/>
      <c r="C63" s="248" t="s">
        <v>758</v>
      </c>
      <c r="D63" s="248" t="s">
        <v>759</v>
      </c>
      <c r="E63" s="340">
        <v>0.5</v>
      </c>
      <c r="F63" s="327">
        <v>80</v>
      </c>
    </row>
    <row r="64" spans="1:8" s="323" customFormat="1" ht="48">
      <c r="A64" s="327">
        <v>4</v>
      </c>
      <c r="B64" s="1817"/>
      <c r="C64" s="248" t="s">
        <v>760</v>
      </c>
      <c r="D64" s="248" t="s">
        <v>761</v>
      </c>
      <c r="E64" s="340">
        <v>0.4</v>
      </c>
      <c r="F64" s="327">
        <v>60</v>
      </c>
    </row>
    <row r="65" spans="1:6" s="323" customFormat="1" ht="48">
      <c r="A65" s="327">
        <v>5</v>
      </c>
      <c r="B65" s="1817"/>
      <c r="C65" s="248" t="s">
        <v>762</v>
      </c>
      <c r="D65" s="248" t="s">
        <v>763</v>
      </c>
      <c r="E65" s="340">
        <v>0.2</v>
      </c>
      <c r="F65" s="327">
        <v>30</v>
      </c>
    </row>
    <row r="66" spans="1:6" s="323" customFormat="1" ht="48">
      <c r="A66" s="327">
        <v>6</v>
      </c>
      <c r="B66" s="1817"/>
      <c r="C66" s="248" t="s">
        <v>764</v>
      </c>
      <c r="D66" s="248" t="s">
        <v>765</v>
      </c>
      <c r="E66" s="340">
        <v>0.3</v>
      </c>
      <c r="F66" s="327">
        <v>50</v>
      </c>
    </row>
    <row r="67" spans="1:6" s="323" customFormat="1" ht="48">
      <c r="A67" s="327">
        <v>7</v>
      </c>
      <c r="B67" s="1817"/>
      <c r="C67" s="248" t="s">
        <v>766</v>
      </c>
      <c r="D67" s="248" t="s">
        <v>767</v>
      </c>
      <c r="E67" s="340">
        <v>0.2</v>
      </c>
      <c r="F67" s="327">
        <v>30</v>
      </c>
    </row>
    <row r="68" spans="1:6" s="323" customFormat="1" ht="48">
      <c r="A68" s="327">
        <v>8</v>
      </c>
      <c r="B68" s="1817"/>
      <c r="C68" s="248" t="s">
        <v>768</v>
      </c>
      <c r="D68" s="248" t="s">
        <v>769</v>
      </c>
      <c r="E68" s="340">
        <v>0.2</v>
      </c>
      <c r="F68" s="327">
        <v>30</v>
      </c>
    </row>
    <row r="69" spans="1:6" s="323" customFormat="1" ht="48">
      <c r="A69" s="327">
        <v>9</v>
      </c>
      <c r="B69" s="1817"/>
      <c r="C69" s="248" t="s">
        <v>770</v>
      </c>
      <c r="D69" s="248" t="s">
        <v>771</v>
      </c>
      <c r="E69" s="340">
        <v>0.2</v>
      </c>
      <c r="F69" s="327">
        <v>30</v>
      </c>
    </row>
    <row r="70" spans="1:6" s="323" customFormat="1" ht="60">
      <c r="A70" s="327">
        <v>10</v>
      </c>
      <c r="B70" s="1817"/>
      <c r="C70" s="248" t="s">
        <v>772</v>
      </c>
      <c r="D70" s="248" t="s">
        <v>773</v>
      </c>
      <c r="E70" s="340">
        <v>0.2</v>
      </c>
      <c r="F70" s="327">
        <v>30</v>
      </c>
    </row>
    <row r="71" spans="1:6" s="323" customFormat="1" ht="60">
      <c r="A71" s="327">
        <v>11</v>
      </c>
      <c r="B71" s="1817"/>
      <c r="C71" s="248" t="s">
        <v>774</v>
      </c>
      <c r="D71" s="248" t="s">
        <v>775</v>
      </c>
      <c r="E71" s="340">
        <v>0.2</v>
      </c>
      <c r="F71" s="327">
        <v>30</v>
      </c>
    </row>
    <row r="72" spans="1:6" s="323" customFormat="1" ht="36">
      <c r="A72" s="327">
        <v>12</v>
      </c>
      <c r="B72" s="1817"/>
      <c r="C72" s="248" t="s">
        <v>776</v>
      </c>
      <c r="D72" s="248" t="s">
        <v>777</v>
      </c>
      <c r="E72" s="340">
        <v>0.5</v>
      </c>
      <c r="F72" s="327">
        <v>80</v>
      </c>
    </row>
    <row r="73" spans="1:6" s="323" customFormat="1" ht="36">
      <c r="A73" s="327">
        <v>13</v>
      </c>
      <c r="B73" s="1817"/>
      <c r="C73" s="248" t="s">
        <v>778</v>
      </c>
      <c r="D73" s="248" t="s">
        <v>779</v>
      </c>
      <c r="E73" s="340">
        <v>0.4</v>
      </c>
      <c r="F73" s="327">
        <v>60</v>
      </c>
    </row>
    <row r="74" spans="1:6" s="323" customFormat="1" ht="36">
      <c r="A74" s="327">
        <v>14</v>
      </c>
      <c r="B74" s="1817"/>
      <c r="C74" s="248" t="s">
        <v>780</v>
      </c>
      <c r="D74" s="248" t="s">
        <v>781</v>
      </c>
      <c r="E74" s="340">
        <v>0.2</v>
      </c>
      <c r="F74" s="327">
        <v>30</v>
      </c>
    </row>
    <row r="75" spans="1:6" s="323" customFormat="1" ht="36">
      <c r="A75" s="327">
        <v>15</v>
      </c>
      <c r="B75" s="1817"/>
      <c r="C75" s="248" t="s">
        <v>782</v>
      </c>
      <c r="D75" s="248" t="s">
        <v>783</v>
      </c>
      <c r="E75" s="340">
        <v>0.2</v>
      </c>
      <c r="F75" s="327">
        <v>30</v>
      </c>
    </row>
    <row r="76" spans="1:6" s="323" customFormat="1" ht="36">
      <c r="A76" s="327">
        <v>16</v>
      </c>
      <c r="B76" s="1817" t="s">
        <v>784</v>
      </c>
      <c r="C76" s="248" t="s">
        <v>785</v>
      </c>
      <c r="D76" s="248" t="s">
        <v>786</v>
      </c>
      <c r="E76" s="340">
        <v>0.5</v>
      </c>
      <c r="F76" s="327">
        <v>80</v>
      </c>
    </row>
    <row r="77" spans="1:6" s="323" customFormat="1" ht="36">
      <c r="A77" s="327">
        <v>17</v>
      </c>
      <c r="B77" s="1817"/>
      <c r="C77" s="248" t="s">
        <v>787</v>
      </c>
      <c r="D77" s="248" t="s">
        <v>788</v>
      </c>
      <c r="E77" s="340">
        <v>0.5</v>
      </c>
      <c r="F77" s="327">
        <v>80</v>
      </c>
    </row>
    <row r="78" spans="1:6" s="323" customFormat="1" ht="36">
      <c r="A78" s="327">
        <v>18</v>
      </c>
      <c r="B78" s="1817"/>
      <c r="C78" s="248" t="s">
        <v>789</v>
      </c>
      <c r="D78" s="248" t="s">
        <v>790</v>
      </c>
      <c r="E78" s="340">
        <v>0.2</v>
      </c>
      <c r="F78" s="327">
        <v>30</v>
      </c>
    </row>
    <row r="79" spans="1:6" s="323" customFormat="1" ht="36">
      <c r="A79" s="327">
        <v>19</v>
      </c>
      <c r="B79" s="1817"/>
      <c r="C79" s="248" t="s">
        <v>791</v>
      </c>
      <c r="D79" s="248" t="s">
        <v>792</v>
      </c>
      <c r="E79" s="340">
        <v>0.5</v>
      </c>
      <c r="F79" s="327">
        <v>80</v>
      </c>
    </row>
    <row r="80" spans="1:6" s="323" customFormat="1" ht="36">
      <c r="A80" s="327">
        <v>20</v>
      </c>
      <c r="B80" s="1817"/>
      <c r="C80" s="248" t="s">
        <v>793</v>
      </c>
      <c r="D80" s="248" t="s">
        <v>794</v>
      </c>
      <c r="E80" s="340">
        <v>0.2</v>
      </c>
      <c r="F80" s="327">
        <v>30</v>
      </c>
    </row>
    <row r="81" spans="1:6" s="323" customFormat="1" ht="36">
      <c r="A81" s="327">
        <v>21</v>
      </c>
      <c r="B81" s="1817"/>
      <c r="C81" s="248" t="s">
        <v>795</v>
      </c>
      <c r="D81" s="248" t="s">
        <v>796</v>
      </c>
      <c r="E81" s="340">
        <v>0.2</v>
      </c>
      <c r="F81" s="327">
        <v>30</v>
      </c>
    </row>
    <row r="82" spans="1:6" s="323" customFormat="1" ht="60">
      <c r="A82" s="327">
        <v>22</v>
      </c>
      <c r="B82" s="1817"/>
      <c r="C82" s="248" t="s">
        <v>797</v>
      </c>
      <c r="D82" s="248" t="s">
        <v>798</v>
      </c>
      <c r="E82" s="340">
        <v>0.2</v>
      </c>
      <c r="F82" s="327">
        <v>30</v>
      </c>
    </row>
    <row r="83" spans="1:6" s="323" customFormat="1" ht="60">
      <c r="A83" s="327">
        <v>23</v>
      </c>
      <c r="B83" s="1817"/>
      <c r="C83" s="248" t="s">
        <v>799</v>
      </c>
      <c r="D83" s="248" t="s">
        <v>800</v>
      </c>
      <c r="E83" s="340">
        <v>0.2</v>
      </c>
      <c r="F83" s="327">
        <v>30</v>
      </c>
    </row>
    <row r="84" spans="1:6" s="323" customFormat="1" ht="48">
      <c r="A84" s="327">
        <v>24</v>
      </c>
      <c r="B84" s="1817"/>
      <c r="C84" s="248" t="s">
        <v>801</v>
      </c>
      <c r="D84" s="248" t="s">
        <v>802</v>
      </c>
      <c r="E84" s="340">
        <v>0.2</v>
      </c>
      <c r="F84" s="327">
        <v>30</v>
      </c>
    </row>
    <row r="85" spans="1:6" s="323" customFormat="1" ht="36">
      <c r="A85" s="327">
        <v>25</v>
      </c>
      <c r="B85" s="1817"/>
      <c r="C85" s="248" t="s">
        <v>803</v>
      </c>
      <c r="D85" s="248" t="s">
        <v>804</v>
      </c>
      <c r="E85" s="340">
        <v>0.5</v>
      </c>
      <c r="F85" s="327">
        <v>80</v>
      </c>
    </row>
    <row r="86" spans="1:6" s="323" customFormat="1" ht="36">
      <c r="A86" s="327">
        <v>26</v>
      </c>
      <c r="B86" s="1817"/>
      <c r="C86" s="248" t="s">
        <v>805</v>
      </c>
      <c r="D86" s="248" t="s">
        <v>806</v>
      </c>
      <c r="E86" s="340">
        <v>0.2</v>
      </c>
      <c r="F86" s="327">
        <v>30</v>
      </c>
    </row>
    <row r="87" spans="1:6" s="323" customFormat="1" ht="36">
      <c r="A87" s="327">
        <v>27</v>
      </c>
      <c r="B87" s="1817"/>
      <c r="C87" s="248" t="s">
        <v>807</v>
      </c>
      <c r="D87" s="248" t="s">
        <v>808</v>
      </c>
      <c r="E87" s="340">
        <v>0.2</v>
      </c>
      <c r="F87" s="327">
        <v>30</v>
      </c>
    </row>
    <row r="88" spans="1:6" s="323" customFormat="1" ht="36">
      <c r="A88" s="327">
        <v>28</v>
      </c>
      <c r="B88" s="1817"/>
      <c r="C88" s="248" t="s">
        <v>809</v>
      </c>
      <c r="D88" s="248" t="s">
        <v>810</v>
      </c>
      <c r="E88" s="340">
        <v>0.2</v>
      </c>
      <c r="F88" s="327">
        <v>30</v>
      </c>
    </row>
    <row r="89" spans="1:6" s="323" customFormat="1" ht="36">
      <c r="A89" s="327">
        <v>29</v>
      </c>
      <c r="B89" s="1817"/>
      <c r="C89" s="248" t="s">
        <v>811</v>
      </c>
      <c r="D89" s="248" t="s">
        <v>812</v>
      </c>
      <c r="E89" s="340">
        <v>0.2</v>
      </c>
      <c r="F89" s="327">
        <v>30</v>
      </c>
    </row>
    <row r="90" spans="1:6" s="323" customFormat="1" ht="36">
      <c r="A90" s="327">
        <v>30</v>
      </c>
      <c r="B90" s="1817"/>
      <c r="C90" s="248" t="s">
        <v>813</v>
      </c>
      <c r="D90" s="248" t="s">
        <v>814</v>
      </c>
      <c r="E90" s="340">
        <v>0.2</v>
      </c>
      <c r="F90" s="327">
        <v>30</v>
      </c>
    </row>
    <row r="91" spans="1:6" s="323" customFormat="1" ht="48">
      <c r="A91" s="327">
        <v>31</v>
      </c>
      <c r="B91" s="1817"/>
      <c r="C91" s="248" t="s">
        <v>815</v>
      </c>
      <c r="D91" s="248" t="s">
        <v>816</v>
      </c>
      <c r="E91" s="340">
        <v>0.2</v>
      </c>
      <c r="F91" s="327">
        <v>30</v>
      </c>
    </row>
    <row r="92" spans="1:6" s="323" customFormat="1" ht="36">
      <c r="A92" s="327">
        <v>32</v>
      </c>
      <c r="B92" s="1817" t="s">
        <v>817</v>
      </c>
      <c r="C92" s="327" t="s">
        <v>818</v>
      </c>
      <c r="D92" s="248" t="s">
        <v>819</v>
      </c>
      <c r="E92" s="340">
        <v>0.2</v>
      </c>
      <c r="F92" s="327">
        <v>30</v>
      </c>
    </row>
    <row r="93" spans="1:6" s="323" customFormat="1" ht="36">
      <c r="A93" s="327">
        <v>33</v>
      </c>
      <c r="B93" s="1817"/>
      <c r="C93" s="327" t="s">
        <v>820</v>
      </c>
      <c r="D93" s="248" t="s">
        <v>821</v>
      </c>
      <c r="E93" s="340">
        <v>0.2</v>
      </c>
      <c r="F93" s="327">
        <v>30</v>
      </c>
    </row>
    <row r="94" spans="1:6" s="323" customFormat="1" ht="60">
      <c r="A94" s="327">
        <v>34</v>
      </c>
      <c r="B94" s="1817"/>
      <c r="C94" s="327" t="s">
        <v>822</v>
      </c>
      <c r="D94" s="248" t="s">
        <v>823</v>
      </c>
      <c r="E94" s="340">
        <v>0.2</v>
      </c>
      <c r="F94" s="327">
        <v>30</v>
      </c>
    </row>
    <row r="95" spans="1:6" s="323" customFormat="1" ht="48">
      <c r="A95" s="327">
        <v>35</v>
      </c>
      <c r="B95" s="1817"/>
      <c r="C95" s="327" t="s">
        <v>824</v>
      </c>
      <c r="D95" s="248" t="s">
        <v>825</v>
      </c>
      <c r="E95" s="340">
        <v>0.2</v>
      </c>
      <c r="F95" s="327">
        <v>30</v>
      </c>
    </row>
    <row r="96" spans="1:6" s="323" customFormat="1" ht="72">
      <c r="A96" s="327">
        <v>36</v>
      </c>
      <c r="B96" s="1817"/>
      <c r="C96" s="248" t="s">
        <v>826</v>
      </c>
      <c r="D96" s="248" t="s">
        <v>827</v>
      </c>
      <c r="E96" s="340">
        <v>0.2</v>
      </c>
      <c r="F96" s="327">
        <v>30</v>
      </c>
    </row>
    <row r="97" spans="1:6" s="323" customFormat="1" ht="36">
      <c r="A97" s="327">
        <v>37</v>
      </c>
      <c r="B97" s="1817"/>
      <c r="C97" s="327" t="s">
        <v>828</v>
      </c>
      <c r="D97" s="248" t="s">
        <v>829</v>
      </c>
      <c r="E97" s="340">
        <v>0.2</v>
      </c>
      <c r="F97" s="327">
        <v>30</v>
      </c>
    </row>
    <row r="98" spans="1:6" s="323" customFormat="1" ht="36">
      <c r="A98" s="327">
        <v>38</v>
      </c>
      <c r="B98" s="1817"/>
      <c r="C98" s="327" t="s">
        <v>830</v>
      </c>
      <c r="D98" s="248" t="s">
        <v>831</v>
      </c>
      <c r="E98" s="340">
        <v>0.2</v>
      </c>
      <c r="F98" s="327">
        <v>30</v>
      </c>
    </row>
    <row r="99" spans="1:6" s="323" customFormat="1" ht="36">
      <c r="A99" s="327">
        <v>39</v>
      </c>
      <c r="B99" s="1817" t="s">
        <v>832</v>
      </c>
      <c r="C99" s="327" t="s">
        <v>833</v>
      </c>
      <c r="D99" s="248" t="s">
        <v>834</v>
      </c>
      <c r="E99" s="340">
        <v>0.3</v>
      </c>
      <c r="F99" s="327">
        <v>50</v>
      </c>
    </row>
    <row r="100" spans="1:6" s="323" customFormat="1" ht="36">
      <c r="A100" s="327">
        <v>40</v>
      </c>
      <c r="B100" s="1817"/>
      <c r="C100" s="327" t="s">
        <v>835</v>
      </c>
      <c r="D100" s="248" t="s">
        <v>836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17"/>
      <c r="C101" s="327" t="s">
        <v>837</v>
      </c>
      <c r="D101" s="248" t="s">
        <v>834</v>
      </c>
      <c r="E101" s="340">
        <v>0.2</v>
      </c>
      <c r="F101" s="327">
        <v>30</v>
      </c>
    </row>
    <row r="102" spans="1:6" s="323" customFormat="1" ht="72">
      <c r="A102" s="327">
        <v>42</v>
      </c>
      <c r="B102" s="327" t="s">
        <v>838</v>
      </c>
      <c r="C102" s="248" t="s">
        <v>839</v>
      </c>
      <c r="D102" s="248" t="s">
        <v>840</v>
      </c>
      <c r="E102" s="340">
        <v>0.2</v>
      </c>
      <c r="F102" s="327">
        <v>30</v>
      </c>
    </row>
    <row r="103" spans="1:6" s="323" customFormat="1" ht="36">
      <c r="A103" s="327">
        <v>43</v>
      </c>
      <c r="B103" s="327" t="s">
        <v>841</v>
      </c>
      <c r="C103" s="327" t="s">
        <v>842</v>
      </c>
      <c r="D103" s="248" t="s">
        <v>843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844</v>
      </c>
      <c r="C104" s="327" t="s">
        <v>845</v>
      </c>
      <c r="D104" s="248" t="s">
        <v>846</v>
      </c>
      <c r="E104" s="340">
        <v>0.2</v>
      </c>
      <c r="F104" s="327">
        <v>30</v>
      </c>
    </row>
    <row r="105" spans="1:6" s="323" customFormat="1" ht="48">
      <c r="A105" s="327">
        <v>45</v>
      </c>
      <c r="B105" s="1817" t="s">
        <v>847</v>
      </c>
      <c r="C105" s="327" t="s">
        <v>848</v>
      </c>
      <c r="D105" s="248" t="s">
        <v>849</v>
      </c>
      <c r="E105" s="340">
        <v>0.2</v>
      </c>
      <c r="F105" s="327">
        <v>30</v>
      </c>
    </row>
    <row r="106" spans="1:6" s="323" customFormat="1" ht="48">
      <c r="A106" s="327">
        <v>46</v>
      </c>
      <c r="B106" s="1817"/>
      <c r="C106" s="327" t="s">
        <v>850</v>
      </c>
      <c r="D106" s="248" t="s">
        <v>851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17" t="s">
        <v>852</v>
      </c>
      <c r="C107" s="327" t="s">
        <v>853</v>
      </c>
      <c r="D107" s="248" t="s">
        <v>854</v>
      </c>
      <c r="E107" s="340">
        <v>0.3</v>
      </c>
      <c r="F107" s="327">
        <v>50</v>
      </c>
    </row>
    <row r="108" spans="1:6" s="323" customFormat="1" ht="48">
      <c r="A108" s="327">
        <v>48</v>
      </c>
      <c r="B108" s="1817"/>
      <c r="C108" s="327" t="s">
        <v>855</v>
      </c>
      <c r="D108" s="248" t="s">
        <v>856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857</v>
      </c>
      <c r="C109" s="327" t="s">
        <v>858</v>
      </c>
      <c r="D109" s="248" t="s">
        <v>859</v>
      </c>
      <c r="E109" s="340">
        <v>0.2</v>
      </c>
      <c r="F109" s="327">
        <v>30</v>
      </c>
    </row>
    <row r="110" spans="1:6" s="323" customFormat="1" ht="48">
      <c r="A110" s="327">
        <v>50</v>
      </c>
      <c r="B110" s="327" t="s">
        <v>860</v>
      </c>
      <c r="C110" s="327" t="s">
        <v>861</v>
      </c>
      <c r="D110" s="248" t="s">
        <v>862</v>
      </c>
      <c r="E110" s="340">
        <v>0.2</v>
      </c>
      <c r="F110" s="327">
        <v>30</v>
      </c>
    </row>
    <row r="111" spans="1:6" s="323" customFormat="1" ht="48">
      <c r="A111" s="327">
        <v>51</v>
      </c>
      <c r="B111" s="1817" t="s">
        <v>863</v>
      </c>
      <c r="C111" s="327" t="s">
        <v>864</v>
      </c>
      <c r="D111" s="248" t="s">
        <v>865</v>
      </c>
      <c r="E111" s="340">
        <v>0.2</v>
      </c>
      <c r="F111" s="327">
        <v>30</v>
      </c>
    </row>
    <row r="112" spans="1:6" s="323" customFormat="1" ht="36">
      <c r="A112" s="327">
        <v>52</v>
      </c>
      <c r="B112" s="1817"/>
      <c r="C112" s="327" t="s">
        <v>866</v>
      </c>
      <c r="D112" s="248" t="s">
        <v>867</v>
      </c>
      <c r="E112" s="340">
        <v>0.2</v>
      </c>
      <c r="F112" s="327">
        <v>30</v>
      </c>
    </row>
    <row r="113" spans="1:6" s="323" customFormat="1" ht="36">
      <c r="A113" s="327">
        <v>53</v>
      </c>
      <c r="B113" s="1817"/>
      <c r="C113" s="327" t="s">
        <v>868</v>
      </c>
      <c r="D113" s="248" t="s">
        <v>869</v>
      </c>
      <c r="E113" s="340">
        <v>0.2</v>
      </c>
      <c r="F113" s="327">
        <v>30</v>
      </c>
    </row>
    <row r="114" spans="1:6" ht="48">
      <c r="A114" s="327">
        <v>54</v>
      </c>
      <c r="B114" s="327" t="s">
        <v>870</v>
      </c>
      <c r="C114" s="327" t="s">
        <v>871</v>
      </c>
      <c r="D114" s="248" t="s">
        <v>872</v>
      </c>
      <c r="E114" s="340">
        <v>0.2</v>
      </c>
      <c r="F114" s="327">
        <v>30</v>
      </c>
    </row>
    <row r="115" spans="1:6" ht="36">
      <c r="A115" s="327">
        <v>55</v>
      </c>
      <c r="B115" s="327" t="s">
        <v>873</v>
      </c>
      <c r="C115" s="327" t="s">
        <v>874</v>
      </c>
      <c r="D115" s="248" t="s">
        <v>875</v>
      </c>
      <c r="E115" s="340">
        <v>0.2</v>
      </c>
      <c r="F115" s="327">
        <v>30</v>
      </c>
    </row>
    <row r="116" spans="1:6" ht="36">
      <c r="A116" s="327">
        <v>56</v>
      </c>
      <c r="B116" s="1817" t="s">
        <v>876</v>
      </c>
      <c r="C116" s="327" t="s">
        <v>877</v>
      </c>
      <c r="D116" s="248" t="s">
        <v>878</v>
      </c>
      <c r="E116" s="340">
        <v>0.2</v>
      </c>
      <c r="F116" s="327">
        <v>30</v>
      </c>
    </row>
    <row r="117" spans="1:6" ht="36">
      <c r="A117" s="327">
        <v>57</v>
      </c>
      <c r="B117" s="1817"/>
      <c r="C117" s="327" t="s">
        <v>879</v>
      </c>
      <c r="D117" s="248" t="s">
        <v>880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881</v>
      </c>
      <c r="C118" s="327" t="s">
        <v>882</v>
      </c>
      <c r="D118" s="248" t="s">
        <v>883</v>
      </c>
      <c r="E118" s="340">
        <v>0.2</v>
      </c>
      <c r="F118" s="327">
        <v>30</v>
      </c>
    </row>
    <row r="119" spans="1:6" ht="14.4">
      <c r="A119" s="327"/>
      <c r="B119" s="327"/>
      <c r="C119" s="327" t="s">
        <v>884</v>
      </c>
      <c r="D119" s="327"/>
      <c r="E119" s="340" t="s">
        <v>694</v>
      </c>
      <c r="F119" s="327" t="s">
        <v>694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360"/>
    <col min="2" max="16384" width="9" style="346"/>
  </cols>
  <sheetData>
    <row r="1" spans="1:14" ht="15.6">
      <c r="A1" s="344" t="s">
        <v>886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885</v>
      </c>
      <c r="B2" s="348" t="s">
        <v>289</v>
      </c>
      <c r="C2" s="348" t="s">
        <v>290</v>
      </c>
      <c r="D2" s="348" t="s">
        <v>291</v>
      </c>
      <c r="E2" s="348" t="s">
        <v>292</v>
      </c>
      <c r="F2" s="348" t="s">
        <v>293</v>
      </c>
      <c r="G2" s="348" t="s">
        <v>294</v>
      </c>
      <c r="H2" s="349" t="s">
        <v>295</v>
      </c>
      <c r="I2" s="349" t="s">
        <v>296</v>
      </c>
      <c r="J2" s="350" t="s">
        <v>297</v>
      </c>
      <c r="K2" s="350" t="s">
        <v>298</v>
      </c>
      <c r="L2" s="350" t="s">
        <v>299</v>
      </c>
      <c r="M2" s="350" t="s">
        <v>300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5.6">
      <c r="A103" s="344" t="s">
        <v>887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5.6">
      <c r="A104" s="347" t="s">
        <v>885</v>
      </c>
      <c r="B104" s="348" t="s">
        <v>289</v>
      </c>
      <c r="C104" s="348" t="s">
        <v>290</v>
      </c>
      <c r="D104" s="348" t="s">
        <v>291</v>
      </c>
      <c r="E104" s="348" t="s">
        <v>292</v>
      </c>
      <c r="F104" s="348" t="s">
        <v>293</v>
      </c>
      <c r="G104" s="348" t="s">
        <v>294</v>
      </c>
      <c r="H104" s="349" t="s">
        <v>295</v>
      </c>
      <c r="I104" s="349" t="s">
        <v>296</v>
      </c>
      <c r="J104" s="350" t="s">
        <v>297</v>
      </c>
      <c r="K104" s="350" t="s">
        <v>298</v>
      </c>
      <c r="L104" s="350" t="s">
        <v>299</v>
      </c>
      <c r="M104" s="350" t="s">
        <v>300</v>
      </c>
      <c r="N104" s="345">
        <f>SUMPRODUCT((A105:A204=ROUNDDOWN('2014基准地价'!G3,1))*(B104:M104='2014基准地价'!G2)*(B105:M204))</f>
        <v>1.0732999999999999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5.6">
      <c r="A205" s="344" t="s">
        <v>888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885</v>
      </c>
      <c r="B206" s="348" t="s">
        <v>289</v>
      </c>
      <c r="C206" s="348" t="s">
        <v>290</v>
      </c>
      <c r="D206" s="348" t="s">
        <v>291</v>
      </c>
      <c r="E206" s="348" t="s">
        <v>292</v>
      </c>
      <c r="F206" s="348" t="s">
        <v>293</v>
      </c>
      <c r="G206" s="348" t="s">
        <v>294</v>
      </c>
      <c r="H206" s="349" t="s">
        <v>295</v>
      </c>
      <c r="I206" s="349" t="s">
        <v>296</v>
      </c>
      <c r="J206" s="350" t="s">
        <v>297</v>
      </c>
      <c r="K206" s="350" t="s">
        <v>298</v>
      </c>
      <c r="L206" s="350" t="s">
        <v>299</v>
      </c>
      <c r="M206" s="350" t="s">
        <v>300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5.6">
      <c r="A307" s="344" t="s">
        <v>889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885</v>
      </c>
      <c r="B308" s="348" t="s">
        <v>289</v>
      </c>
      <c r="C308" s="348" t="s">
        <v>290</v>
      </c>
      <c r="D308" s="348" t="s">
        <v>291</v>
      </c>
      <c r="E308" s="348" t="s">
        <v>292</v>
      </c>
      <c r="F308" s="348" t="s">
        <v>293</v>
      </c>
      <c r="G308" s="348" t="s">
        <v>294</v>
      </c>
      <c r="H308" s="349" t="s">
        <v>295</v>
      </c>
      <c r="I308" s="349" t="s">
        <v>296</v>
      </c>
      <c r="J308" s="350" t="s">
        <v>297</v>
      </c>
      <c r="K308" s="350" t="s">
        <v>298</v>
      </c>
      <c r="L308" s="350" t="s">
        <v>299</v>
      </c>
      <c r="M308" s="350" t="s">
        <v>300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D34" sqref="D34"/>
    </sheetView>
  </sheetViews>
  <sheetFormatPr defaultColWidth="9" defaultRowHeight="12"/>
  <cols>
    <col min="1" max="1" width="13.33203125" style="710" customWidth="1"/>
    <col min="2" max="2" width="19.21875" style="778" customWidth="1"/>
    <col min="3" max="4" width="12" style="709" customWidth="1"/>
    <col min="5" max="5" width="14.6640625" style="709" customWidth="1"/>
    <col min="6" max="6" width="16.88671875" style="709" customWidth="1"/>
    <col min="7" max="8" width="12" style="709" customWidth="1"/>
    <col min="9" max="9" width="12.218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704" t="s">
        <v>1387</v>
      </c>
      <c r="B1" s="705"/>
      <c r="C1" s="706"/>
      <c r="D1" s="706"/>
      <c r="E1" s="706"/>
      <c r="F1" s="706"/>
      <c r="G1" s="707" t="s">
        <v>1177</v>
      </c>
      <c r="H1" s="509">
        <f>主表!B7</f>
        <v>70.400000000000006</v>
      </c>
      <c r="I1" s="707" t="s">
        <v>1340</v>
      </c>
      <c r="J1" s="509">
        <f>主表!B6</f>
        <v>0</v>
      </c>
      <c r="AE1" s="712"/>
      <c r="AF1" s="712"/>
    </row>
    <row r="2" spans="1:36" ht="24">
      <c r="A2" s="667" t="s">
        <v>909</v>
      </c>
      <c r="B2" s="616" t="s">
        <v>1555</v>
      </c>
      <c r="C2" s="713" t="s">
        <v>980</v>
      </c>
      <c r="D2" s="714" t="s">
        <v>983</v>
      </c>
      <c r="E2" s="715" t="str">
        <f>主表!B12</f>
        <v>住宅/居住</v>
      </c>
      <c r="F2" s="714" t="s">
        <v>685</v>
      </c>
      <c r="G2" s="716" t="str">
        <f>主表!B10</f>
        <v>三级</v>
      </c>
      <c r="H2" s="715" t="s">
        <v>1350</v>
      </c>
      <c r="I2" s="1310" t="s">
        <v>1793</v>
      </c>
      <c r="J2" s="717"/>
      <c r="AE2" s="712"/>
      <c r="AF2" s="712"/>
    </row>
    <row r="3" spans="1:36" ht="24">
      <c r="A3" s="668" t="s">
        <v>912</v>
      </c>
      <c r="B3" s="1397">
        <f>C18</f>
        <v>10543</v>
      </c>
      <c r="C3" s="713" t="s">
        <v>913</v>
      </c>
      <c r="D3" s="714" t="s">
        <v>252</v>
      </c>
      <c r="E3" s="718" t="s">
        <v>1794</v>
      </c>
      <c r="F3" s="1458" t="s">
        <v>1795</v>
      </c>
      <c r="G3" s="238">
        <f>IF(F3="容积率",主表!B8,主表!B9)</f>
        <v>2</v>
      </c>
      <c r="H3" s="719" t="s">
        <v>926</v>
      </c>
      <c r="I3" s="26">
        <f>SUMPRODUCT((A89:A92=E2)*(B88:K88=G2)*(B89:K92))</f>
        <v>2</v>
      </c>
      <c r="J3" s="717"/>
      <c r="AE3" s="712"/>
      <c r="AF3" s="712"/>
    </row>
    <row r="4" spans="1:36" ht="15.6">
      <c r="A4" s="667" t="s">
        <v>1564</v>
      </c>
      <c r="B4" s="616">
        <f>C20</f>
        <v>0</v>
      </c>
      <c r="C4" s="1396" t="s">
        <v>1566</v>
      </c>
      <c r="D4" s="1286"/>
      <c r="E4" s="1287"/>
      <c r="F4" s="1287"/>
      <c r="G4" s="1077"/>
      <c r="H4" s="1288"/>
      <c r="I4" s="659"/>
      <c r="J4" s="717"/>
      <c r="AE4" s="712"/>
      <c r="AF4" s="712"/>
    </row>
    <row r="5" spans="1:36" ht="16.2" thickBot="1">
      <c r="A5" s="707" t="s">
        <v>1565</v>
      </c>
      <c r="B5" s="1395">
        <f>C22</f>
        <v>0</v>
      </c>
      <c r="C5" s="1398" t="s">
        <v>1567</v>
      </c>
      <c r="D5" s="1308"/>
      <c r="E5" s="1308"/>
      <c r="F5" s="1308"/>
      <c r="G5" s="1308"/>
      <c r="H5" s="1308"/>
      <c r="I5" s="1308"/>
      <c r="J5" s="1309"/>
      <c r="AE5" s="712"/>
      <c r="AF5" s="712"/>
    </row>
    <row r="6" spans="1:36" s="726" customFormat="1" ht="15.6">
      <c r="A6" s="720" t="s">
        <v>914</v>
      </c>
      <c r="B6" s="721" t="s">
        <v>1333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6">
      <c r="A7" s="729">
        <v>1</v>
      </c>
      <c r="B7" s="730" t="s">
        <v>1334</v>
      </c>
      <c r="C7" s="1766">
        <f>(2730+4590)/2</f>
        <v>3660</v>
      </c>
      <c r="D7" s="731" t="s">
        <v>1530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2" thickBot="1">
      <c r="A8" s="736">
        <v>2</v>
      </c>
      <c r="B8" s="737" t="s">
        <v>1335</v>
      </c>
      <c r="C8" s="1034"/>
      <c r="D8" s="1033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32"/>
      <c r="F8" s="738" t="s">
        <v>1341</v>
      </c>
      <c r="G8" s="739"/>
      <c r="H8" s="739"/>
      <c r="I8" s="739"/>
      <c r="J8" s="740"/>
      <c r="K8" s="735"/>
      <c r="AE8" s="712"/>
      <c r="AF8" s="712"/>
    </row>
    <row r="9" spans="1:36" ht="16.2" thickBot="1">
      <c r="A9" s="1503" t="s">
        <v>928</v>
      </c>
      <c r="B9" s="1509" t="s">
        <v>931</v>
      </c>
      <c r="C9" s="1510">
        <f>IF(OR(H9&gt;=DATE(2014,8,28),H9&lt;DATE(2002,12,10)),0,ROUND(I9/F9,4))</f>
        <v>2.75</v>
      </c>
      <c r="D9" s="1511" t="s">
        <v>261</v>
      </c>
      <c r="E9" s="1512">
        <v>37257</v>
      </c>
      <c r="F9" s="1513">
        <f>ROUND(SUMIF(地价!B3:F3,E2,地价!B86:F86),0)</f>
        <v>104</v>
      </c>
      <c r="G9" s="1514" t="s">
        <v>262</v>
      </c>
      <c r="H9" s="1515">
        <f>主表!B4</f>
        <v>39948</v>
      </c>
      <c r="I9" s="1516">
        <f>ROUND(SUMPRODUCT((地价!A36:A86=YEAR(H9)&amp;"-"&amp;ROUNDUP(MONTH(H9)/3,0))*(地价!B3:F3=E2)*(地价!B36:F86)),0)</f>
        <v>286</v>
      </c>
      <c r="J9" s="770"/>
      <c r="AE9" s="712"/>
      <c r="AF9" s="712"/>
    </row>
    <row r="10" spans="1:36" ht="16.2" thickBot="1">
      <c r="A10" s="1517" t="s">
        <v>930</v>
      </c>
      <c r="B10" s="1518" t="s">
        <v>198</v>
      </c>
      <c r="C10" s="1519">
        <f>ROUND(POWER(1+E10,H10-G10)*(POWER(1+E10,G10)-1)/(POWER(1+E10,H10)-1),4)</f>
        <v>1</v>
      </c>
      <c r="D10" s="1479" t="s">
        <v>935</v>
      </c>
      <c r="E10" s="1480">
        <v>0.04</v>
      </c>
      <c r="F10" s="1520" t="s">
        <v>1633</v>
      </c>
      <c r="G10" s="1521">
        <f>IF(F10="剩余土地使用年限",主表!B15,主表!B16)</f>
        <v>70</v>
      </c>
      <c r="H10" s="1521">
        <f>IF(E2="住宅/居住",70,IF(E2="商业",40,50))</f>
        <v>70</v>
      </c>
      <c r="I10" s="1508"/>
      <c r="J10" s="1522"/>
      <c r="AE10" s="712"/>
      <c r="AF10" s="712"/>
    </row>
    <row r="11" spans="1:36" ht="15.6">
      <c r="A11" s="745" t="s">
        <v>932</v>
      </c>
      <c r="B11" s="746" t="s">
        <v>937</v>
      </c>
      <c r="C11" s="1311">
        <f>IF(E2="工业",1,IF(G3&gt;10,D14,IF(D11="郊区",D13,D12)))</f>
        <v>1</v>
      </c>
      <c r="D11" s="1486"/>
      <c r="E11" s="723"/>
      <c r="F11" s="723"/>
      <c r="G11" s="723"/>
      <c r="H11" s="723"/>
      <c r="I11" s="723"/>
      <c r="J11" s="747"/>
      <c r="AE11" s="712"/>
      <c r="AF11" s="712"/>
    </row>
    <row r="12" spans="1:36" ht="15.6">
      <c r="A12" s="687"/>
      <c r="B12" s="748" t="s">
        <v>1348</v>
      </c>
      <c r="C12" s="621" t="s">
        <v>1488</v>
      </c>
      <c r="D12" s="1475">
        <f>IF(E12=G12,F12,IF(G3&lt;=10,ROUND(F12+(H12-F12)*(G3-E12)/(G12-E12),4),"——"))</f>
        <v>1</v>
      </c>
      <c r="E12" s="1477">
        <f>ROUNDDOWN(G3,1)</f>
        <v>2</v>
      </c>
      <c r="F12" s="1478">
        <f>IF(G3&lt;=10,SUMPRODUCT(('2002容积率修正'!A3:A102=E12)*('2002容积率修正'!B2:D2=E2)*('2002容积率修正'!B3:D102)),"——")</f>
        <v>1</v>
      </c>
      <c r="G12" s="1476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.6">
      <c r="A13" s="687"/>
      <c r="B13" s="748" t="s">
        <v>1349</v>
      </c>
      <c r="C13" s="621" t="s">
        <v>1488</v>
      </c>
      <c r="D13" s="1475">
        <f>IF(E12=G12,F12,IF(G3&lt;=10,ROUND(F12+(H12-F12)*(G3-E12)/(G12-E12),4),"——"))</f>
        <v>1</v>
      </c>
      <c r="E13" s="1477">
        <f>ROUNDDOWN(G3,1)</f>
        <v>2</v>
      </c>
      <c r="F13" s="1478">
        <f>IF(G3&lt;=10,SUMPRODUCT(('2002容积率修正'!A3:A102=E13)*('2002容积率修正'!E2:G2=E2)*('2002容积率修正'!E3:G102)),"——")</f>
        <v>0.85</v>
      </c>
      <c r="G13" s="1476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6.2" thickBot="1">
      <c r="A14" s="751"/>
      <c r="B14" s="752"/>
      <c r="C14" s="625" t="s">
        <v>280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2" thickBot="1">
      <c r="A15" s="741" t="s">
        <v>936</v>
      </c>
      <c r="B15" s="742" t="s">
        <v>940</v>
      </c>
      <c r="C15" s="620">
        <f>SUMIF(A40:A76,E2,B40:B76)</f>
        <v>1.0475000000000001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31.8" thickBot="1">
      <c r="A16" s="1517" t="s">
        <v>1323</v>
      </c>
      <c r="B16" s="1518" t="s">
        <v>1332</v>
      </c>
      <c r="C16" s="1523">
        <v>1</v>
      </c>
      <c r="D16" s="1524" t="s">
        <v>1336</v>
      </c>
      <c r="E16" s="1481" t="s">
        <v>925</v>
      </c>
      <c r="F16" s="1482" t="s">
        <v>1799</v>
      </c>
      <c r="G16" s="1525" t="s">
        <v>927</v>
      </c>
      <c r="H16" s="1526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7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941</v>
      </c>
      <c r="B17" s="758" t="s">
        <v>942</v>
      </c>
      <c r="C17" s="947" t="s">
        <v>1489</v>
      </c>
      <c r="D17" s="759" t="s">
        <v>1339</v>
      </c>
      <c r="E17" s="760" t="s">
        <v>955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6">
      <c r="A18" s="1827" t="s">
        <v>1337</v>
      </c>
      <c r="B18" s="761" t="s">
        <v>1324</v>
      </c>
      <c r="C18" s="629">
        <f>ROUND(C7*C9*C10*C11*C15*C16,0)</f>
        <v>10543</v>
      </c>
      <c r="D18" s="630">
        <f>H1</f>
        <v>70.400000000000006</v>
      </c>
      <c r="E18" s="631">
        <f>ROUND(C18*D18,0)</f>
        <v>742227</v>
      </c>
      <c r="F18" s="762" t="s">
        <v>1328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.6">
      <c r="A19" s="1828"/>
      <c r="B19" s="766" t="s">
        <v>1327</v>
      </c>
      <c r="C19" s="621">
        <f>ROUND(C7*C9*C10*C11*C15*C16*G3,0)</f>
        <v>21086</v>
      </c>
      <c r="D19" s="630">
        <f>J1</f>
        <v>0</v>
      </c>
      <c r="E19" s="631">
        <f>ROUND(C19*D19,0)</f>
        <v>0</v>
      </c>
      <c r="F19" s="767" t="s">
        <v>1329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.6">
      <c r="A20" s="1829" t="s">
        <v>1338</v>
      </c>
      <c r="B20" s="748" t="s">
        <v>1325</v>
      </c>
      <c r="C20" s="635">
        <f>ROUND(IF(G3&gt;=I3,C8*C9*C10*C15,C8*C9*C10*C15*G3),0)</f>
        <v>0</v>
      </c>
      <c r="D20" s="636">
        <f>H1</f>
        <v>70.400000000000006</v>
      </c>
      <c r="E20" s="637">
        <f>ROUND(C20*D20,0)</f>
        <v>0</v>
      </c>
      <c r="F20" s="768" t="s">
        <v>1330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.6">
      <c r="A21" s="1829"/>
      <c r="B21" s="771" t="s">
        <v>1326</v>
      </c>
      <c r="C21" s="638">
        <f>ROUND(IF(G3&lt;I3,C8*C9*C10*C15,C8*C9*C10*C15*G3),0)</f>
        <v>0</v>
      </c>
      <c r="D21" s="639">
        <f>J1</f>
        <v>0</v>
      </c>
      <c r="E21" s="640">
        <f t="shared" ref="E21" si="0">ROUND(C21*D21,0)</f>
        <v>0</v>
      </c>
      <c r="F21" s="772" t="s">
        <v>1331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6.2" thickBot="1">
      <c r="A22" s="1528" t="s">
        <v>1347</v>
      </c>
      <c r="B22" s="775"/>
      <c r="C22" s="1563">
        <f>ROUND(IF(D22="四环路内",C20*0.4,C20*0.6),0)</f>
        <v>0</v>
      </c>
      <c r="D22" s="776"/>
      <c r="E22" s="777"/>
      <c r="F22" s="777"/>
      <c r="G22" s="777"/>
      <c r="H22" s="777"/>
      <c r="I22" s="777"/>
      <c r="J22" s="1529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5" thickBot="1">
      <c r="A24" s="779" t="s">
        <v>968</v>
      </c>
      <c r="B24" s="379">
        <f>ROUNDDOWN(1+DATEDIF(E9,H9,"M")/3,0)</f>
        <v>30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4.4">
      <c r="A25" s="780" t="s">
        <v>263</v>
      </c>
      <c r="B25" s="1383" t="s">
        <v>1490</v>
      </c>
      <c r="C25" s="1457" t="s">
        <v>268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4">
      <c r="A26" s="784" t="s">
        <v>277</v>
      </c>
      <c r="B26" s="1384"/>
      <c r="C26" s="1407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4">
      <c r="A27" s="784" t="s">
        <v>0</v>
      </c>
      <c r="B27" s="613">
        <v>0.02</v>
      </c>
      <c r="C27" s="1407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4">
      <c r="A28" s="784" t="s">
        <v>1342</v>
      </c>
      <c r="B28" s="613">
        <v>0.02</v>
      </c>
      <c r="C28" s="1407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4">
      <c r="A29" s="784" t="s">
        <v>1343</v>
      </c>
      <c r="B29" s="613">
        <v>2.5899999999999999E-2</v>
      </c>
      <c r="C29" s="1407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4.4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4.4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4.4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4.4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4.4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4.4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4.4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5" thickBot="1">
      <c r="A39" s="240" t="s">
        <v>890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4.4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4.4" hidden="1">
      <c r="A41" s="247" t="s">
        <v>891</v>
      </c>
      <c r="B41" s="248" t="s">
        <v>892</v>
      </c>
      <c r="C41" s="248" t="s">
        <v>893</v>
      </c>
      <c r="D41" s="248" t="s">
        <v>1454</v>
      </c>
      <c r="E41" s="793" t="s">
        <v>1455</v>
      </c>
      <c r="F41" s="794" t="s">
        <v>1456</v>
      </c>
      <c r="G41" s="794" t="s">
        <v>1457</v>
      </c>
      <c r="H41" s="794" t="s">
        <v>1458</v>
      </c>
      <c r="I41" s="794" t="s">
        <v>1459</v>
      </c>
      <c r="J41" s="794" t="s">
        <v>1460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48" hidden="1">
      <c r="A42" s="247" t="s">
        <v>894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60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48" hidden="1">
      <c r="A45" s="247" t="s">
        <v>897</v>
      </c>
      <c r="B45" s="1535" t="s">
        <v>1735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3.8" hidden="1">
      <c r="A46" s="247" t="s">
        <v>898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899</v>
      </c>
      <c r="B47" s="1536" t="s">
        <v>1736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6" hidden="1" thickBot="1">
      <c r="A48" s="256" t="s">
        <v>901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4.4" hidden="1">
      <c r="A49" s="242" t="s">
        <v>1304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4.4" hidden="1">
      <c r="A50" s="247" t="s">
        <v>891</v>
      </c>
      <c r="B50" s="254"/>
      <c r="C50" s="248" t="s">
        <v>893</v>
      </c>
      <c r="D50" s="249" t="s">
        <v>1491</v>
      </c>
      <c r="E50" s="250" t="s">
        <v>1492</v>
      </c>
      <c r="F50" s="138" t="s">
        <v>1493</v>
      </c>
      <c r="G50" s="138" t="s">
        <v>1494</v>
      </c>
      <c r="H50" s="138" t="s">
        <v>1495</v>
      </c>
      <c r="I50" s="138" t="s">
        <v>1496</v>
      </c>
      <c r="J50" s="138" t="s">
        <v>1497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48" hidden="1">
      <c r="A51" s="247" t="s">
        <v>903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0.03</v>
      </c>
      <c r="G51" s="514">
        <f>F51/2</f>
        <v>1.4999999999999999E-2</v>
      </c>
      <c r="H51" s="515">
        <v>0</v>
      </c>
      <c r="I51" s="514">
        <f>J51/2</f>
        <v>-1.4999999999999999E-2</v>
      </c>
      <c r="J51" s="514">
        <f>SUMPRODUCT(('2002因素修正幅度'!$A$73:$A$79=A51)*('2002因素修正幅度'!$B$35:$K$35=$G$2)*('2002因素修正幅度'!$B$73:$K$79))</f>
        <v>-0.03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60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3.7499999999999999E-2</v>
      </c>
      <c r="G52" s="514">
        <f t="shared" ref="G52:G57" si="5">F52/2</f>
        <v>1.8749999999999999E-2</v>
      </c>
      <c r="H52" s="515">
        <v>0</v>
      </c>
      <c r="I52" s="514">
        <f t="shared" ref="I52:I57" si="6">J52/2</f>
        <v>-1.8749999999999999E-2</v>
      </c>
      <c r="J52" s="514">
        <f>SUMPRODUCT(('2002因素修正幅度'!$A$73:$A$79=A52)*('2002因素修正幅度'!$B$35:$K$35=$G$2)*('2002因素修正幅度'!$B$73:$K$79))</f>
        <v>-3.7499999999999999E-2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1.4999999999999999E-2</v>
      </c>
      <c r="G53" s="514">
        <f t="shared" si="5"/>
        <v>7.4999999999999997E-3</v>
      </c>
      <c r="H53" s="515">
        <v>0</v>
      </c>
      <c r="I53" s="514">
        <f t="shared" si="6"/>
        <v>-7.4999999999999997E-3</v>
      </c>
      <c r="J53" s="514">
        <f>SUMPRODUCT(('2002因素修正幅度'!$A$73:$A$79=A53)*('2002因素修正幅度'!$B$35:$K$35=$G$2)*('2002因素修正幅度'!$B$73:$K$79))</f>
        <v>-1.4999999999999999E-2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48" hidden="1">
      <c r="A54" s="247" t="s">
        <v>897</v>
      </c>
      <c r="B54" s="1535" t="s">
        <v>1735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1.4999999999999999E-2</v>
      </c>
      <c r="G54" s="514">
        <f t="shared" si="5"/>
        <v>7.4999999999999997E-3</v>
      </c>
      <c r="H54" s="515">
        <v>0</v>
      </c>
      <c r="I54" s="514">
        <f t="shared" si="6"/>
        <v>-7.4999999999999997E-3</v>
      </c>
      <c r="J54" s="514">
        <f>SUMPRODUCT(('2002因素修正幅度'!$A$73:$A$79=A54)*('2002因素修正幅度'!$B$35:$K$35=$G$2)*('2002因素修正幅度'!$B$73:$K$79))</f>
        <v>-1.4999999999999999E-2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3.8" hidden="1">
      <c r="A55" s="247" t="s">
        <v>898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2.2499999999999999E-2</v>
      </c>
      <c r="G55" s="514">
        <f t="shared" si="5"/>
        <v>1.125E-2</v>
      </c>
      <c r="H55" s="515">
        <v>0</v>
      </c>
      <c r="I55" s="514">
        <f t="shared" si="6"/>
        <v>-1.125E-2</v>
      </c>
      <c r="J55" s="514">
        <f>SUMPRODUCT(('2002因素修正幅度'!$A$73:$A$79=A55)*('2002因素修正幅度'!$B$35:$K$35=$G$2)*('2002因素修正幅度'!$B$73:$K$79))</f>
        <v>-2.2499999999999999E-2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899</v>
      </c>
      <c r="B56" s="1536" t="s">
        <v>1736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1.2E-2</v>
      </c>
      <c r="G56" s="514">
        <f t="shared" si="5"/>
        <v>6.0000000000000001E-3</v>
      </c>
      <c r="H56" s="515">
        <v>0</v>
      </c>
      <c r="I56" s="514">
        <f t="shared" si="6"/>
        <v>-6.0000000000000001E-3</v>
      </c>
      <c r="J56" s="514">
        <f>SUMPRODUCT(('2002因素修正幅度'!$A$73:$A$79=A56)*('2002因素修正幅度'!$B$35:$K$35=$G$2)*('2002因素修正幅度'!$B$73:$K$79))</f>
        <v>-1.2E-2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48.6" hidden="1" thickBot="1">
      <c r="A57" s="247" t="s">
        <v>1314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1.7999999999999999E-2</v>
      </c>
      <c r="G57" s="514">
        <f t="shared" si="5"/>
        <v>8.9999999999999993E-3</v>
      </c>
      <c r="H57" s="515">
        <v>0</v>
      </c>
      <c r="I57" s="514">
        <f t="shared" si="6"/>
        <v>-8.9999999999999993E-3</v>
      </c>
      <c r="J57" s="514">
        <f>SUMPRODUCT(('2002因素修正幅度'!$A$73:$A$79=A57)*('2002因素修正幅度'!$B$35:$K$35=$G$2)*('2002因素修正幅度'!$B$73:$K$79))</f>
        <v>-1.7999999999999999E-2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4.4">
      <c r="A58" s="242" t="s">
        <v>1305</v>
      </c>
      <c r="B58" s="487">
        <f>1+E60</f>
        <v>1.0475000000000001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4.4">
      <c r="A59" s="247" t="s">
        <v>891</v>
      </c>
      <c r="B59" s="254"/>
      <c r="C59" s="248" t="s">
        <v>893</v>
      </c>
      <c r="D59" s="249" t="s">
        <v>1498</v>
      </c>
      <c r="E59" s="250" t="s">
        <v>1499</v>
      </c>
      <c r="F59" s="138" t="s">
        <v>1500</v>
      </c>
      <c r="G59" s="138" t="s">
        <v>1501</v>
      </c>
      <c r="H59" s="138" t="s">
        <v>1502</v>
      </c>
      <c r="I59" s="138" t="s">
        <v>1503</v>
      </c>
      <c r="J59" s="138" t="s">
        <v>1504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60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1797</v>
      </c>
      <c r="D60" s="490">
        <f t="shared" ref="D60:D67" si="7">SUMIF($F$59:$J$59,C60,F60:J60)</f>
        <v>1.2500000000000001E-2</v>
      </c>
      <c r="E60" s="253">
        <f>SUM(D60:D67)</f>
        <v>4.7500000000000001E-2</v>
      </c>
      <c r="F60" s="514">
        <f>SUMPRODUCT(('2002因素修正幅度'!$A$50:$A$57=A60)*('2002因素修正幅度'!$B$35:$K$35=$G$2)*('2002因素修正幅度'!$B$50:$K$57))</f>
        <v>2.5000000000000001E-2</v>
      </c>
      <c r="G60" s="514">
        <f>F60/2</f>
        <v>1.2500000000000001E-2</v>
      </c>
      <c r="H60" s="515">
        <v>0</v>
      </c>
      <c r="I60" s="514">
        <f>J60/2</f>
        <v>-7.4999999999999997E-3</v>
      </c>
      <c r="J60" s="514">
        <f>SUMPRODUCT(('2002因素修正幅度'!$A$80:$A$87=A60)*('2002因素修正幅度'!$B$35:$K$35=$G$2)*('2002因素修正幅度'!$B$80:$K$87))</f>
        <v>-1.4999999999999999E-2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60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15</v>
      </c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0.05</v>
      </c>
      <c r="G61" s="514">
        <f t="shared" ref="G61:G67" si="8">F61/2</f>
        <v>2.5000000000000001E-2</v>
      </c>
      <c r="H61" s="515">
        <v>0</v>
      </c>
      <c r="I61" s="514">
        <f t="shared" ref="I61:I67" si="9">J61/2</f>
        <v>-1.4999999999999999E-2</v>
      </c>
      <c r="J61" s="514">
        <f>SUMPRODUCT(('2002因素修正幅度'!$A$80:$A$87=A61)*('2002因素修正幅度'!$B$35:$K$35=$G$2)*('2002因素修正幅度'!$B$80:$K$87))</f>
        <v>-0.03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15</v>
      </c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2.5000000000000001E-2</v>
      </c>
      <c r="G62" s="514">
        <f t="shared" si="8"/>
        <v>1.2500000000000001E-2</v>
      </c>
      <c r="H62" s="515">
        <v>0</v>
      </c>
      <c r="I62" s="514">
        <f t="shared" si="9"/>
        <v>-7.4999999999999997E-3</v>
      </c>
      <c r="J62" s="514">
        <f>SUMPRODUCT(('2002因素修正幅度'!$A$80:$A$87=A62)*('2002因素修正幅度'!$B$35:$K$35=$G$2)*('2002因素修正幅度'!$B$80:$K$87))</f>
        <v>-1.4999999999999999E-2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3.8">
      <c r="A63" s="247" t="s">
        <v>905</v>
      </c>
      <c r="B63" s="254">
        <f>估价对象房地状况!C12</f>
        <v>0</v>
      </c>
      <c r="C63" s="795" t="s">
        <v>15</v>
      </c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2.5000000000000001E-2</v>
      </c>
      <c r="G63" s="514">
        <f t="shared" si="8"/>
        <v>1.2500000000000001E-2</v>
      </c>
      <c r="H63" s="515">
        <v>0</v>
      </c>
      <c r="I63" s="514">
        <f t="shared" si="9"/>
        <v>-7.4999999999999997E-3</v>
      </c>
      <c r="J63" s="514">
        <f>SUMPRODUCT(('2002因素修正幅度'!$A$80:$A$87=A63)*('2002因素修正幅度'!$B$35:$K$35=$G$2)*('2002因素修正幅度'!$B$80:$K$87))</f>
        <v>-1.4999999999999999E-2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899</v>
      </c>
      <c r="B64" s="1536" t="s">
        <v>1736</v>
      </c>
      <c r="C64" s="795" t="s">
        <v>1797</v>
      </c>
      <c r="D64" s="490">
        <f t="shared" si="7"/>
        <v>0.01</v>
      </c>
      <c r="E64" s="263"/>
      <c r="F64" s="514">
        <f>SUMPRODUCT(('2002因素修正幅度'!$A$50:$A$57=A64)*('2002因素修正幅度'!$B$35:$K$35=$G$2)*('2002因素修正幅度'!$B$50:$K$57))</f>
        <v>0.02</v>
      </c>
      <c r="G64" s="514">
        <f t="shared" si="8"/>
        <v>0.01</v>
      </c>
      <c r="H64" s="515">
        <v>0</v>
      </c>
      <c r="I64" s="514">
        <f t="shared" si="9"/>
        <v>-6.0000000000000001E-3</v>
      </c>
      <c r="J64" s="514">
        <f>SUMPRODUCT(('2002因素修正幅度'!$A$80:$A$87=A64)*('2002因素修正幅度'!$B$35:$K$35=$G$2)*('2002因素修正幅度'!$B$80:$K$87))</f>
        <v>-1.2E-2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48">
      <c r="A65" s="247" t="s">
        <v>1314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15</v>
      </c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0.03</v>
      </c>
      <c r="G65" s="514">
        <f t="shared" si="8"/>
        <v>1.4999999999999999E-2</v>
      </c>
      <c r="H65" s="515">
        <v>0</v>
      </c>
      <c r="I65" s="514">
        <f t="shared" si="9"/>
        <v>-8.9999999999999993E-3</v>
      </c>
      <c r="J65" s="514">
        <f>SUMPRODUCT(('2002因素修正幅度'!$A$80:$A$87=A65)*('2002因素修正幅度'!$B$35:$K$35=$G$2)*('2002因素修正幅度'!$B$80:$K$87))</f>
        <v>-1.7999999999999999E-2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902</v>
      </c>
      <c r="B66" s="251" t="str">
        <f>估价对象房地状况!C8</f>
        <v>区域自然环境：；人文环境；综合评价环境状况一般</v>
      </c>
      <c r="C66" s="795" t="s">
        <v>1797</v>
      </c>
      <c r="D66" s="490">
        <f t="shared" si="7"/>
        <v>2.5000000000000001E-2</v>
      </c>
      <c r="E66" s="263"/>
      <c r="F66" s="514">
        <f>SUMPRODUCT(('2002因素修正幅度'!$A$50:$A$57=A66)*('2002因素修正幅度'!$B$35:$K$35=$G$2)*('2002因素修正幅度'!$B$50:$K$57))</f>
        <v>0.05</v>
      </c>
      <c r="G66" s="514">
        <f t="shared" si="8"/>
        <v>2.5000000000000001E-2</v>
      </c>
      <c r="H66" s="515">
        <v>0</v>
      </c>
      <c r="I66" s="514">
        <f t="shared" si="9"/>
        <v>-1.4999999999999999E-2</v>
      </c>
      <c r="J66" s="514">
        <f>SUMPRODUCT(('2002因素修正幅度'!$A$80:$A$87=A66)*('2002因素修正幅度'!$B$35:$K$35=$G$2)*('2002因素修正幅度'!$B$80:$K$87))</f>
        <v>-0.03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6" thickBot="1">
      <c r="A67" s="258" t="s">
        <v>1315</v>
      </c>
      <c r="B67" s="489"/>
      <c r="C67" s="795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2.5000000000000001E-2</v>
      </c>
      <c r="G67" s="514">
        <f t="shared" si="8"/>
        <v>1.2500000000000001E-2</v>
      </c>
      <c r="H67" s="515">
        <v>0</v>
      </c>
      <c r="I67" s="514">
        <f t="shared" si="9"/>
        <v>-7.4999999999999997E-3</v>
      </c>
      <c r="J67" s="514">
        <f>SUMPRODUCT(('2002因素修正幅度'!$A$80:$A$87=A67)*('2002因素修正幅度'!$B$35:$K$35=$G$2)*('2002因素修正幅度'!$B$80:$K$87))</f>
        <v>-1.4999999999999999E-2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4.4">
      <c r="A68" s="242" t="s">
        <v>225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4.4">
      <c r="A69" s="247" t="s">
        <v>891</v>
      </c>
      <c r="B69" s="254"/>
      <c r="C69" s="248" t="s">
        <v>893</v>
      </c>
      <c r="D69" s="249" t="s">
        <v>1498</v>
      </c>
      <c r="E69" s="250" t="s">
        <v>1499</v>
      </c>
      <c r="F69" s="138" t="s">
        <v>1500</v>
      </c>
      <c r="G69" s="138" t="s">
        <v>1501</v>
      </c>
      <c r="H69" s="138" t="s">
        <v>1502</v>
      </c>
      <c r="I69" s="138" t="s">
        <v>1503</v>
      </c>
      <c r="J69" s="138" t="s">
        <v>1504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27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60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3.8">
      <c r="A73" s="247" t="s">
        <v>905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899</v>
      </c>
      <c r="B74" s="1536" t="s">
        <v>1736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901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48.6" thickBot="1">
      <c r="A76" s="258" t="s">
        <v>908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4.4">
      <c r="A80" s="716" t="s">
        <v>1465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3.2">
      <c r="A81" s="716" t="s">
        <v>1466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3.2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4.4">
      <c r="A83" s="798" t="s">
        <v>1304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3.2">
      <c r="A84" s="798" t="s">
        <v>1306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8" thickBot="1">
      <c r="A85" s="799" t="s">
        <v>1307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6" thickBot="1">
      <c r="K87" s="709"/>
      <c r="AE87" s="710"/>
      <c r="AF87" s="710"/>
      <c r="AH87" s="709"/>
      <c r="AI87" s="709"/>
      <c r="AJ87" s="709"/>
    </row>
    <row r="88" spans="1:36" ht="15" thickBot="1">
      <c r="A88" s="800" t="s">
        <v>685</v>
      </c>
      <c r="B88" s="801" t="s">
        <v>289</v>
      </c>
      <c r="C88" s="801" t="s">
        <v>32</v>
      </c>
      <c r="D88" s="801" t="s">
        <v>291</v>
      </c>
      <c r="E88" s="801" t="s">
        <v>29</v>
      </c>
      <c r="F88" s="801" t="s">
        <v>30</v>
      </c>
      <c r="G88" s="801" t="s">
        <v>31</v>
      </c>
      <c r="H88" s="801" t="s">
        <v>295</v>
      </c>
      <c r="I88" s="801" t="s">
        <v>296</v>
      </c>
      <c r="J88" s="801" t="s">
        <v>297</v>
      </c>
      <c r="K88" s="801" t="s">
        <v>298</v>
      </c>
      <c r="AE88" s="710"/>
      <c r="AF88" s="710"/>
      <c r="AH88" s="709"/>
      <c r="AI88" s="709"/>
      <c r="AJ88" s="709"/>
    </row>
    <row r="89" spans="1:36" ht="14.4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4.4">
      <c r="A90" s="511" t="s">
        <v>1301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4.4">
      <c r="A91" s="511" t="s">
        <v>1302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5" thickBot="1">
      <c r="A92" s="807" t="s">
        <v>225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F6" sqref="F6:G6"/>
    </sheetView>
  </sheetViews>
  <sheetFormatPr defaultColWidth="9" defaultRowHeight="14.4"/>
  <cols>
    <col min="1" max="9" width="9" style="569"/>
    <col min="10" max="10" width="2.21875" style="569" customWidth="1"/>
    <col min="11" max="11" width="11.44140625" style="569" customWidth="1"/>
    <col min="12" max="16384" width="9" style="569"/>
  </cols>
  <sheetData>
    <row r="1" spans="1:19" ht="15" thickBot="1">
      <c r="K1" s="565" t="str">
        <f>'2002基准地价'!E2</f>
        <v>住宅/居住</v>
      </c>
      <c r="L1" s="565" t="str">
        <f>'2002基准地价'!G2</f>
        <v>三级</v>
      </c>
      <c r="M1" s="566">
        <f>SUMPRODUCT((K3:K12=L1)*(L2:O2=K1)*(L3:O12))</f>
        <v>3660</v>
      </c>
    </row>
    <row r="2" spans="1:19">
      <c r="A2" s="570" t="s">
        <v>1295</v>
      </c>
      <c r="B2" s="571" t="s">
        <v>1291</v>
      </c>
      <c r="C2" s="572"/>
      <c r="D2" s="573" t="s">
        <v>1292</v>
      </c>
      <c r="E2" s="573"/>
      <c r="F2" s="574" t="s">
        <v>1293</v>
      </c>
      <c r="G2" s="573"/>
      <c r="H2" s="574" t="s">
        <v>1294</v>
      </c>
      <c r="I2" s="573"/>
      <c r="K2" s="272"/>
      <c r="L2" s="273" t="s">
        <v>0</v>
      </c>
      <c r="M2" s="273" t="s">
        <v>1301</v>
      </c>
      <c r="N2" s="273" t="s">
        <v>1302</v>
      </c>
      <c r="O2" s="273" t="s">
        <v>225</v>
      </c>
    </row>
    <row r="3" spans="1:19">
      <c r="A3" s="575"/>
      <c r="B3" s="576" t="s">
        <v>1290</v>
      </c>
      <c r="C3" s="576" t="s">
        <v>1289</v>
      </c>
      <c r="D3" s="567" t="s">
        <v>1290</v>
      </c>
      <c r="E3" s="567" t="s">
        <v>1289</v>
      </c>
      <c r="F3" s="567" t="s">
        <v>1290</v>
      </c>
      <c r="G3" s="567" t="s">
        <v>1289</v>
      </c>
      <c r="H3" s="567" t="s">
        <v>1290</v>
      </c>
      <c r="I3" s="567" t="s">
        <v>1289</v>
      </c>
      <c r="K3" s="567" t="s">
        <v>342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342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402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402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580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580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250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250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662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662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33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33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665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665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667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667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669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669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673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5" thickBot="1">
      <c r="A13" s="567" t="s">
        <v>673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1296</v>
      </c>
      <c r="B14" s="567" t="s">
        <v>1290</v>
      </c>
      <c r="C14" s="567" t="s">
        <v>1289</v>
      </c>
      <c r="D14" s="567" t="s">
        <v>1290</v>
      </c>
      <c r="E14" s="567" t="s">
        <v>1289</v>
      </c>
      <c r="F14" s="567" t="s">
        <v>1290</v>
      </c>
      <c r="G14" s="567" t="s">
        <v>1289</v>
      </c>
      <c r="H14" s="567" t="s">
        <v>1290</v>
      </c>
      <c r="I14" s="579" t="s">
        <v>1289</v>
      </c>
      <c r="L14" s="1025" t="s">
        <v>0</v>
      </c>
      <c r="M14" s="273" t="s">
        <v>1301</v>
      </c>
      <c r="N14" s="273" t="s">
        <v>1302</v>
      </c>
      <c r="O14" s="1026" t="s">
        <v>225</v>
      </c>
      <c r="P14" s="1025" t="s">
        <v>0</v>
      </c>
      <c r="Q14" s="273" t="s">
        <v>1301</v>
      </c>
      <c r="R14" s="273" t="s">
        <v>1302</v>
      </c>
      <c r="S14" s="1026" t="s">
        <v>225</v>
      </c>
    </row>
    <row r="15" spans="1:19">
      <c r="A15" s="567" t="s">
        <v>342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4" t="s">
        <v>342</v>
      </c>
      <c r="L15" s="1027">
        <v>2660</v>
      </c>
      <c r="M15" s="577">
        <v>1640</v>
      </c>
      <c r="N15" s="577">
        <v>1710</v>
      </c>
      <c r="O15" s="1028">
        <v>420</v>
      </c>
      <c r="P15" s="1027">
        <v>4900</v>
      </c>
      <c r="Q15" s="577">
        <v>4500</v>
      </c>
      <c r="R15" s="577">
        <v>3000</v>
      </c>
      <c r="S15" s="594">
        <v>850</v>
      </c>
    </row>
    <row r="16" spans="1:19">
      <c r="A16" s="567" t="s">
        <v>402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4" t="s">
        <v>402</v>
      </c>
      <c r="L16" s="1027">
        <v>1680</v>
      </c>
      <c r="M16" s="577">
        <v>1460</v>
      </c>
      <c r="N16" s="577">
        <v>900</v>
      </c>
      <c r="O16" s="1028">
        <v>430</v>
      </c>
      <c r="P16" s="1027">
        <v>3120</v>
      </c>
      <c r="Q16" s="577">
        <v>2200</v>
      </c>
      <c r="R16" s="577">
        <v>2100</v>
      </c>
      <c r="S16" s="594">
        <v>530</v>
      </c>
    </row>
    <row r="17" spans="1:19">
      <c r="A17" s="567" t="s">
        <v>580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4" t="s">
        <v>580</v>
      </c>
      <c r="L17" s="1027">
        <v>1500</v>
      </c>
      <c r="M17" s="577">
        <v>1130</v>
      </c>
      <c r="N17" s="577">
        <v>550</v>
      </c>
      <c r="O17" s="1028">
        <v>340</v>
      </c>
      <c r="P17" s="1027">
        <v>2420</v>
      </c>
      <c r="Q17" s="577">
        <v>1690</v>
      </c>
      <c r="R17" s="577">
        <v>1300</v>
      </c>
      <c r="S17" s="594">
        <v>440</v>
      </c>
    </row>
    <row r="18" spans="1:19">
      <c r="A18" s="567" t="s">
        <v>250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4" t="s">
        <v>250</v>
      </c>
      <c r="L18" s="1027">
        <v>1240</v>
      </c>
      <c r="M18" s="577">
        <v>880</v>
      </c>
      <c r="N18" s="577">
        <v>400</v>
      </c>
      <c r="O18" s="1028">
        <v>270</v>
      </c>
      <c r="P18" s="1027">
        <v>1860</v>
      </c>
      <c r="Q18" s="577">
        <v>1320</v>
      </c>
      <c r="R18" s="577">
        <v>930</v>
      </c>
      <c r="S18" s="594">
        <v>360</v>
      </c>
    </row>
    <row r="19" spans="1:19">
      <c r="A19" s="567" t="s">
        <v>662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4" t="s">
        <v>662</v>
      </c>
      <c r="L19" s="1027">
        <v>970</v>
      </c>
      <c r="M19" s="577">
        <v>660</v>
      </c>
      <c r="N19" s="577">
        <v>300</v>
      </c>
      <c r="O19" s="1028">
        <v>195</v>
      </c>
      <c r="P19" s="1027">
        <v>1450</v>
      </c>
      <c r="Q19" s="577">
        <v>990</v>
      </c>
      <c r="R19" s="577">
        <v>680</v>
      </c>
      <c r="S19" s="594">
        <v>300</v>
      </c>
    </row>
    <row r="20" spans="1:19">
      <c r="A20" s="567" t="s">
        <v>33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4" t="s">
        <v>33</v>
      </c>
      <c r="L20" s="1027">
        <v>720</v>
      </c>
      <c r="M20" s="577">
        <v>500</v>
      </c>
      <c r="N20" s="577">
        <v>190</v>
      </c>
      <c r="O20" s="1028">
        <v>135</v>
      </c>
      <c r="P20" s="1027">
        <v>1090</v>
      </c>
      <c r="Q20" s="577">
        <v>740</v>
      </c>
      <c r="R20" s="577">
        <v>430</v>
      </c>
      <c r="S20" s="594">
        <v>225</v>
      </c>
    </row>
    <row r="21" spans="1:19">
      <c r="A21" s="567" t="s">
        <v>665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4" t="s">
        <v>665</v>
      </c>
      <c r="L21" s="1027">
        <v>500</v>
      </c>
      <c r="M21" s="577">
        <v>400</v>
      </c>
      <c r="N21" s="577">
        <v>150</v>
      </c>
      <c r="O21" s="1028">
        <v>100</v>
      </c>
      <c r="P21" s="1027">
        <v>740</v>
      </c>
      <c r="Q21" s="577">
        <v>600</v>
      </c>
      <c r="R21" s="577">
        <v>350</v>
      </c>
      <c r="S21" s="594">
        <v>160</v>
      </c>
    </row>
    <row r="22" spans="1:19">
      <c r="A22" s="567" t="s">
        <v>667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4" t="s">
        <v>667</v>
      </c>
      <c r="L22" s="1027">
        <v>360</v>
      </c>
      <c r="M22" s="577">
        <v>250</v>
      </c>
      <c r="N22" s="577">
        <v>120</v>
      </c>
      <c r="O22" s="1028">
        <v>60</v>
      </c>
      <c r="P22" s="1027">
        <v>540</v>
      </c>
      <c r="Q22" s="577">
        <v>470</v>
      </c>
      <c r="R22" s="577">
        <v>280</v>
      </c>
      <c r="S22" s="594">
        <v>100</v>
      </c>
    </row>
    <row r="23" spans="1:19">
      <c r="A23" s="567" t="s">
        <v>669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4" t="s">
        <v>669</v>
      </c>
      <c r="L23" s="1027">
        <v>180</v>
      </c>
      <c r="M23" s="577">
        <v>140</v>
      </c>
      <c r="N23" s="577">
        <v>100</v>
      </c>
      <c r="O23" s="1028">
        <v>20</v>
      </c>
      <c r="P23" s="1027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673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4" t="s">
        <v>673</v>
      </c>
      <c r="L24" s="1029">
        <v>90</v>
      </c>
      <c r="M24" s="1030">
        <v>90</v>
      </c>
      <c r="N24" s="1030">
        <v>90</v>
      </c>
      <c r="O24" s="1031"/>
      <c r="P24" s="1029">
        <v>190</v>
      </c>
      <c r="Q24" s="1030">
        <v>150</v>
      </c>
      <c r="R24" s="1030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585"/>
    <col min="2" max="4" width="15" style="585" customWidth="1"/>
    <col min="5" max="7" width="15.109375" style="585" customWidth="1"/>
    <col min="8" max="16384" width="9" style="585"/>
  </cols>
  <sheetData>
    <row r="1" spans="1:7">
      <c r="A1" s="1833" t="s">
        <v>1308</v>
      </c>
      <c r="B1" s="1830" t="s">
        <v>1309</v>
      </c>
      <c r="C1" s="1831"/>
      <c r="D1" s="1832"/>
      <c r="E1" s="1830" t="s">
        <v>1310</v>
      </c>
      <c r="F1" s="1831"/>
      <c r="G1" s="1832"/>
    </row>
    <row r="2" spans="1:7">
      <c r="A2" s="1834"/>
      <c r="B2" s="586" t="s">
        <v>1311</v>
      </c>
      <c r="C2" s="587" t="s">
        <v>1312</v>
      </c>
      <c r="D2" s="588" t="s">
        <v>1313</v>
      </c>
      <c r="E2" s="586" t="s">
        <v>1311</v>
      </c>
      <c r="F2" s="587" t="s">
        <v>1312</v>
      </c>
      <c r="G2" s="588" t="s">
        <v>1313</v>
      </c>
    </row>
    <row r="3" spans="1:7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7734375" style="513" customWidth="1"/>
    <col min="2" max="16384" width="9" style="513"/>
  </cols>
  <sheetData>
    <row r="1" spans="1:21">
      <c r="A1" s="551" t="s">
        <v>1316</v>
      </c>
      <c r="B1" s="537" t="s">
        <v>342</v>
      </c>
      <c r="C1" s="541" t="s">
        <v>342</v>
      </c>
      <c r="D1" s="537" t="s">
        <v>402</v>
      </c>
      <c r="E1" s="538" t="s">
        <v>402</v>
      </c>
      <c r="F1" s="543" t="s">
        <v>580</v>
      </c>
      <c r="G1" s="541" t="s">
        <v>580</v>
      </c>
      <c r="H1" s="537" t="s">
        <v>250</v>
      </c>
      <c r="I1" s="538" t="s">
        <v>250</v>
      </c>
      <c r="J1" s="543" t="s">
        <v>662</v>
      </c>
      <c r="K1" s="541" t="s">
        <v>662</v>
      </c>
      <c r="L1" s="537" t="s">
        <v>33</v>
      </c>
      <c r="M1" s="538" t="s">
        <v>33</v>
      </c>
      <c r="N1" s="543" t="s">
        <v>665</v>
      </c>
      <c r="O1" s="541" t="s">
        <v>665</v>
      </c>
      <c r="P1" s="537" t="s">
        <v>667</v>
      </c>
      <c r="Q1" s="538" t="s">
        <v>667</v>
      </c>
      <c r="R1" s="543" t="s">
        <v>669</v>
      </c>
      <c r="S1" s="541" t="s">
        <v>669</v>
      </c>
      <c r="T1" s="537" t="s">
        <v>673</v>
      </c>
      <c r="U1" s="538" t="s">
        <v>673</v>
      </c>
    </row>
    <row r="2" spans="1:21" ht="12.6" thickBot="1">
      <c r="A2" s="552"/>
      <c r="B2" s="539" t="s">
        <v>1321</v>
      </c>
      <c r="C2" s="542" t="s">
        <v>1322</v>
      </c>
      <c r="D2" s="539" t="s">
        <v>1321</v>
      </c>
      <c r="E2" s="540" t="s">
        <v>1322</v>
      </c>
      <c r="F2" s="544" t="s">
        <v>1321</v>
      </c>
      <c r="G2" s="542" t="s">
        <v>1322</v>
      </c>
      <c r="H2" s="539" t="s">
        <v>1321</v>
      </c>
      <c r="I2" s="540" t="s">
        <v>1322</v>
      </c>
      <c r="J2" s="544" t="s">
        <v>1321</v>
      </c>
      <c r="K2" s="542" t="s">
        <v>1322</v>
      </c>
      <c r="L2" s="539" t="s">
        <v>1321</v>
      </c>
      <c r="M2" s="540" t="s">
        <v>1322</v>
      </c>
      <c r="N2" s="544" t="s">
        <v>1321</v>
      </c>
      <c r="O2" s="542" t="s">
        <v>1322</v>
      </c>
      <c r="P2" s="539" t="s">
        <v>1321</v>
      </c>
      <c r="Q2" s="540" t="s">
        <v>1322</v>
      </c>
      <c r="R2" s="544" t="s">
        <v>1321</v>
      </c>
      <c r="S2" s="542" t="s">
        <v>1322</v>
      </c>
      <c r="T2" s="539" t="s">
        <v>1317</v>
      </c>
      <c r="U2" s="540" t="s">
        <v>1318</v>
      </c>
    </row>
    <row r="3" spans="1:21">
      <c r="A3" s="516" t="s">
        <v>894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897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898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899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6" thickBot="1">
      <c r="A9" s="518" t="s">
        <v>901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903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897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898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899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1314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905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899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1314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902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6" thickBot="1">
      <c r="A24" s="518" t="s">
        <v>1315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27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905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899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901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6" thickBot="1">
      <c r="A31" s="518" t="s">
        <v>908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6" thickBot="1"/>
    <row r="35" spans="1:11" ht="12.6" thickBot="1">
      <c r="A35" s="531" t="s">
        <v>1320</v>
      </c>
      <c r="B35" s="532" t="s">
        <v>289</v>
      </c>
      <c r="C35" s="533" t="s">
        <v>32</v>
      </c>
      <c r="D35" s="533" t="s">
        <v>291</v>
      </c>
      <c r="E35" s="533" t="s">
        <v>29</v>
      </c>
      <c r="F35" s="533" t="s">
        <v>30</v>
      </c>
      <c r="G35" s="533" t="s">
        <v>31</v>
      </c>
      <c r="H35" s="534" t="s">
        <v>295</v>
      </c>
      <c r="I35" s="534" t="s">
        <v>296</v>
      </c>
      <c r="J35" s="533" t="s">
        <v>297</v>
      </c>
      <c r="K35" s="535" t="s">
        <v>298</v>
      </c>
    </row>
    <row r="36" spans="1:11">
      <c r="A36" s="519" t="s">
        <v>894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897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898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899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6" thickBot="1">
      <c r="A42" s="521" t="s">
        <v>901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903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897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898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899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24.6" thickBot="1">
      <c r="A49" s="518" t="s">
        <v>1314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905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899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 ht="24">
      <c r="A55" s="517" t="s">
        <v>1314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902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6" thickBot="1">
      <c r="A57" s="518" t="s">
        <v>1315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27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905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899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901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6" thickBot="1">
      <c r="A64" s="518" t="s">
        <v>908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6" thickBot="1">
      <c r="A65" s="536" t="s">
        <v>1319</v>
      </c>
      <c r="B65" s="533" t="s">
        <v>289</v>
      </c>
      <c r="C65" s="533" t="s">
        <v>32</v>
      </c>
      <c r="D65" s="533" t="s">
        <v>291</v>
      </c>
      <c r="E65" s="533" t="s">
        <v>29</v>
      </c>
      <c r="F65" s="533" t="s">
        <v>30</v>
      </c>
      <c r="G65" s="533" t="s">
        <v>31</v>
      </c>
      <c r="H65" s="534" t="s">
        <v>295</v>
      </c>
      <c r="I65" s="534" t="s">
        <v>296</v>
      </c>
      <c r="J65" s="533" t="s">
        <v>297</v>
      </c>
      <c r="K65" s="535" t="s">
        <v>298</v>
      </c>
    </row>
    <row r="66" spans="1:11">
      <c r="A66" s="519" t="s">
        <v>894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897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898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899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6" thickBot="1">
      <c r="A72" s="521" t="s">
        <v>901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903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897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898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899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24.6" thickBot="1">
      <c r="A79" s="518" t="s">
        <v>1314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905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899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 ht="24">
      <c r="A85" s="517" t="s">
        <v>1314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902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6" thickBot="1">
      <c r="A87" s="518" t="s">
        <v>1315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27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905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899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901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6" thickBot="1">
      <c r="A94" s="518" t="s">
        <v>908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364" customWidth="1"/>
    <col min="2" max="2" width="21.109375" style="385" customWidth="1"/>
    <col min="3" max="3" width="17.88671875" style="365" customWidth="1"/>
    <col min="4" max="4" width="12" style="365" customWidth="1"/>
    <col min="5" max="5" width="14.6640625" style="365" customWidth="1"/>
    <col min="6" max="6" width="14.21875" style="365" customWidth="1"/>
    <col min="7" max="8" width="12" style="365" customWidth="1"/>
    <col min="9" max="9" width="12.21875" style="365" bestFit="1" customWidth="1"/>
    <col min="10" max="10" width="12" style="365" customWidth="1"/>
    <col min="11" max="11" width="9.44140625" style="476" customWidth="1"/>
    <col min="12" max="12" width="12" style="365" customWidth="1"/>
    <col min="13" max="13" width="8.44140625" style="365" customWidth="1"/>
    <col min="14" max="14" width="9.77734375" style="365" customWidth="1"/>
    <col min="15" max="25" width="12" style="365" customWidth="1"/>
    <col min="26" max="26" width="9.33203125" style="364" customWidth="1"/>
    <col min="27" max="32" width="9.33203125" style="363" customWidth="1"/>
    <col min="33" max="36" width="9.33203125" style="364" customWidth="1"/>
    <col min="37" max="38" width="9.33203125" style="365" customWidth="1"/>
    <col min="39" max="16384" width="9" style="365"/>
  </cols>
  <sheetData>
    <row r="1" spans="1:36" ht="21" thickBot="1">
      <c r="A1" s="692" t="s">
        <v>1453</v>
      </c>
      <c r="B1" s="615"/>
      <c r="C1" s="1485" t="s">
        <v>1557</v>
      </c>
      <c r="D1" s="684" t="s">
        <v>1418</v>
      </c>
      <c r="E1" s="685"/>
      <c r="F1" s="686"/>
      <c r="G1" s="372"/>
      <c r="H1" s="372"/>
      <c r="I1" s="372"/>
      <c r="J1" s="373"/>
      <c r="AE1" s="477"/>
      <c r="AF1" s="477"/>
    </row>
    <row r="2" spans="1:36" ht="15.6">
      <c r="A2" s="695" t="s">
        <v>909</v>
      </c>
      <c r="B2" s="696" t="str">
        <f>IF(C1="求取熟地价",E27,IF(C1="求取毛地价",E29,"——"))</f>
        <v>——</v>
      </c>
      <c r="C2" s="948" t="s">
        <v>980</v>
      </c>
      <c r="D2" s="1838" t="s">
        <v>1423</v>
      </c>
      <c r="E2" s="1842" t="s">
        <v>1419</v>
      </c>
      <c r="F2" s="661" t="s">
        <v>1422</v>
      </c>
      <c r="G2" s="376"/>
      <c r="H2" s="376"/>
      <c r="I2" s="664"/>
      <c r="J2" s="688"/>
      <c r="AE2" s="477"/>
      <c r="AF2" s="477"/>
    </row>
    <row r="3" spans="1:36" ht="16.2" thickBot="1">
      <c r="A3" s="697" t="s">
        <v>1553</v>
      </c>
      <c r="B3" s="698" t="e">
        <f ca="1">IF(C1="求取熟地价",C27,ROUND((C15*B11+C18)*C22/B11,0))</f>
        <v>#DIV/0!</v>
      </c>
      <c r="C3" s="949" t="s">
        <v>913</v>
      </c>
      <c r="D3" s="1839"/>
      <c r="E3" s="1843"/>
      <c r="F3" s="661" t="s">
        <v>1433</v>
      </c>
      <c r="G3" s="376"/>
      <c r="H3" s="376"/>
      <c r="I3" s="664"/>
      <c r="J3" s="688"/>
      <c r="AE3" s="477"/>
      <c r="AF3" s="477"/>
    </row>
    <row r="4" spans="1:36" ht="16.2" thickBot="1">
      <c r="A4" s="693"/>
      <c r="B4" s="657"/>
      <c r="C4" s="694"/>
      <c r="D4" s="1839"/>
      <c r="E4" s="1843"/>
      <c r="F4" s="661" t="s">
        <v>1434</v>
      </c>
      <c r="G4" s="376"/>
      <c r="H4" s="376"/>
      <c r="I4" s="664"/>
      <c r="J4" s="688"/>
      <c r="AE4" s="477"/>
      <c r="AF4" s="477"/>
    </row>
    <row r="5" spans="1:36" ht="31.2">
      <c r="A5" s="699" t="s">
        <v>983</v>
      </c>
      <c r="B5" s="951" t="str">
        <f>主表!B12</f>
        <v>住宅/居住</v>
      </c>
      <c r="C5" s="703"/>
      <c r="D5" s="1840"/>
      <c r="E5" s="1844"/>
      <c r="F5" s="661" t="s">
        <v>1435</v>
      </c>
      <c r="G5" s="376"/>
      <c r="H5" s="376"/>
      <c r="I5" s="664"/>
      <c r="J5" s="688"/>
      <c r="AE5" s="477"/>
      <c r="AF5" s="477"/>
    </row>
    <row r="6" spans="1:36" ht="15.6">
      <c r="A6" s="700" t="s">
        <v>1431</v>
      </c>
      <c r="B6" s="1312"/>
      <c r="C6" s="703"/>
      <c r="D6" s="1838" t="s">
        <v>1424</v>
      </c>
      <c r="E6" s="1842" t="s">
        <v>1420</v>
      </c>
      <c r="F6" s="661" t="s">
        <v>1436</v>
      </c>
      <c r="G6" s="376"/>
      <c r="H6" s="376"/>
      <c r="I6" s="664"/>
      <c r="J6" s="688"/>
      <c r="AE6" s="477"/>
      <c r="AF6" s="477"/>
    </row>
    <row r="7" spans="1:36" ht="15.6">
      <c r="A7" s="1345" t="s">
        <v>1432</v>
      </c>
      <c r="B7" s="1346" t="str">
        <f>LEFT(主表!B10,1)&amp;"类"</f>
        <v>三类</v>
      </c>
      <c r="C7" s="703"/>
      <c r="D7" s="1839"/>
      <c r="E7" s="1843"/>
      <c r="F7" s="661" t="s">
        <v>1437</v>
      </c>
      <c r="G7" s="376"/>
      <c r="H7" s="376"/>
      <c r="I7" s="664"/>
      <c r="J7" s="688"/>
      <c r="AE7" s="477"/>
      <c r="AF7" s="477"/>
    </row>
    <row r="8" spans="1:36" ht="15.6">
      <c r="A8" s="700" t="s">
        <v>1558</v>
      </c>
      <c r="B8" s="1378"/>
      <c r="C8" s="703"/>
      <c r="D8" s="1840"/>
      <c r="E8" s="1844"/>
      <c r="F8" s="661" t="s">
        <v>1438</v>
      </c>
      <c r="G8" s="376"/>
      <c r="H8" s="376"/>
      <c r="I8" s="664"/>
      <c r="J8" s="688"/>
      <c r="AE8" s="477"/>
      <c r="AF8" s="477"/>
    </row>
    <row r="9" spans="1:36" ht="15.6">
      <c r="A9" s="700" t="s">
        <v>1177</v>
      </c>
      <c r="B9" s="701">
        <f>主表!B7</f>
        <v>70.400000000000006</v>
      </c>
      <c r="C9" s="703"/>
      <c r="D9" s="687" t="s">
        <v>1425</v>
      </c>
      <c r="E9" s="663" t="s">
        <v>1401</v>
      </c>
      <c r="F9" s="661" t="s">
        <v>1439</v>
      </c>
      <c r="G9" s="376"/>
      <c r="H9" s="376"/>
      <c r="I9" s="664"/>
      <c r="J9" s="688"/>
      <c r="AE9" s="477"/>
      <c r="AF9" s="477"/>
    </row>
    <row r="10" spans="1:36" ht="15.6">
      <c r="A10" s="700" t="s">
        <v>1340</v>
      </c>
      <c r="B10" s="701">
        <f>主表!B6</f>
        <v>0</v>
      </c>
      <c r="C10" s="703"/>
      <c r="D10" s="1838" t="s">
        <v>1402</v>
      </c>
      <c r="E10" s="1842" t="s">
        <v>1421</v>
      </c>
      <c r="F10" s="661" t="s">
        <v>1440</v>
      </c>
      <c r="G10" s="376"/>
      <c r="H10" s="376"/>
      <c r="I10" s="664"/>
      <c r="J10" s="688"/>
      <c r="AE10" s="477"/>
      <c r="AF10" s="477"/>
    </row>
    <row r="11" spans="1:36" ht="16.2" thickBot="1">
      <c r="A11" s="1461" t="s">
        <v>1218</v>
      </c>
      <c r="B11" s="702" t="e">
        <f>IF(A11="容积率",主表!B8,主表!B9)</f>
        <v>#DIV/0!</v>
      </c>
      <c r="C11" s="703"/>
      <c r="D11" s="1841"/>
      <c r="E11" s="1845"/>
      <c r="F11" s="689" t="s">
        <v>1441</v>
      </c>
      <c r="G11" s="383"/>
      <c r="H11" s="383"/>
      <c r="I11" s="690"/>
      <c r="J11" s="691"/>
      <c r="AE11" s="477"/>
      <c r="AF11" s="477"/>
    </row>
    <row r="12" spans="1:36" ht="16.2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6.2" thickBot="1">
      <c r="A13" s="681" t="s">
        <v>1448</v>
      </c>
      <c r="B13" s="682"/>
      <c r="C13" s="683" t="s">
        <v>1449</v>
      </c>
      <c r="D13" s="950" t="s">
        <v>1290</v>
      </c>
      <c r="E13" s="951" t="s">
        <v>1442</v>
      </c>
      <c r="F13" s="361"/>
      <c r="G13" s="361"/>
      <c r="H13" s="658"/>
      <c r="I13" s="659"/>
      <c r="J13" s="366"/>
      <c r="AE13" s="477"/>
      <c r="AF13" s="477"/>
    </row>
    <row r="14" spans="1:36" s="369" customFormat="1" ht="16.2" thickBot="1">
      <c r="A14" s="1351" t="s">
        <v>914</v>
      </c>
      <c r="B14" s="1352" t="s">
        <v>1426</v>
      </c>
      <c r="C14" s="1353"/>
      <c r="D14" s="1354">
        <f>SUMPRODUCT((D35:M35=B7)*(B36:B39=B6)*(D36:M39))</f>
        <v>0</v>
      </c>
      <c r="E14" s="1355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31.8" thickTop="1">
      <c r="A15" s="1289" t="s">
        <v>1445</v>
      </c>
      <c r="B15" s="1347" t="s">
        <v>1410</v>
      </c>
      <c r="C15" s="1348">
        <f>IF(B5="住宅/居住",C16+C17,C16)</f>
        <v>0</v>
      </c>
      <c r="D15" s="1349"/>
      <c r="E15" s="1350"/>
      <c r="F15" s="361"/>
      <c r="G15" s="361"/>
      <c r="H15" s="658"/>
      <c r="I15" s="659"/>
      <c r="J15" s="366"/>
      <c r="AE15" s="477"/>
      <c r="AF15" s="477"/>
    </row>
    <row r="16" spans="1:36" ht="15.6">
      <c r="A16" s="953">
        <v>1</v>
      </c>
      <c r="B16" s="748" t="s">
        <v>1427</v>
      </c>
      <c r="C16" s="1313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1428</v>
      </c>
      <c r="C17" s="1313"/>
      <c r="D17" s="1354">
        <f>SUMPRODUCT((D35:M35=B7)*(B44:B46=B17)*(D44:M46))</f>
        <v>150</v>
      </c>
      <c r="E17" s="1355">
        <f>SUMPRODUCT((D35:M35=B7)*(B47:B49=B17)*(D47:M49))</f>
        <v>400</v>
      </c>
      <c r="F17" s="744" t="s">
        <v>1562</v>
      </c>
      <c r="G17" s="361"/>
      <c r="H17" s="658"/>
      <c r="I17" s="659"/>
      <c r="J17" s="366"/>
      <c r="AE17" s="477"/>
      <c r="AF17" s="477"/>
    </row>
    <row r="18" spans="1:37" ht="32.4" thickTop="1" thickBot="1">
      <c r="A18" s="1388" t="s">
        <v>1446</v>
      </c>
      <c r="B18" s="1389" t="s">
        <v>1430</v>
      </c>
      <c r="C18" s="1390">
        <f>IF(B8="城镇拆迁",C19*IF(F19="居民住宅",1,IF(F19="企业事业单位",2,4)),C20)</f>
        <v>0</v>
      </c>
      <c r="D18" s="1391"/>
      <c r="E18" s="1392"/>
      <c r="F18" s="361"/>
      <c r="G18" s="361"/>
      <c r="H18" s="658"/>
      <c r="I18" s="659"/>
      <c r="J18" s="366"/>
      <c r="AE18" s="477"/>
      <c r="AF18" s="477"/>
    </row>
    <row r="19" spans="1:37" ht="15.6">
      <c r="A19" s="1385"/>
      <c r="B19" s="1386" t="s">
        <v>1429</v>
      </c>
      <c r="C19" s="1387"/>
      <c r="D19" s="635">
        <f>SUMPRODUCT((D35:M35=B7)*(B44:B46=B19)*(D44:M46))</f>
        <v>5900</v>
      </c>
      <c r="E19" s="635">
        <f>SUMPRODUCT((D35:M35=B7)*(B47:B49=B19)*(D47:M49))</f>
        <v>7800</v>
      </c>
      <c r="F19" s="1376" t="s">
        <v>1447</v>
      </c>
      <c r="G19" s="361"/>
      <c r="H19" s="658"/>
      <c r="I19" s="659"/>
      <c r="J19" s="366"/>
      <c r="AE19" s="477"/>
      <c r="AF19" s="477"/>
    </row>
    <row r="20" spans="1:37" ht="16.2" thickBot="1">
      <c r="A20" s="1375"/>
      <c r="B20" s="1372" t="s">
        <v>1561</v>
      </c>
      <c r="C20" s="1373"/>
      <c r="D20" s="1374">
        <f>SUMPRODUCT((D35:M35=B7)*(B50:B51=F20)*(D50:M51))</f>
        <v>150</v>
      </c>
      <c r="E20" s="1354">
        <f>SUMPRODUCT((D35:M35=B7)*(B52:B53=F20)*(D52:M53))</f>
        <v>450</v>
      </c>
      <c r="F20" s="1377" t="s">
        <v>1415</v>
      </c>
      <c r="G20" s="361"/>
      <c r="H20" s="658"/>
      <c r="I20" s="659"/>
      <c r="J20" s="366"/>
      <c r="AE20" s="477"/>
      <c r="AF20" s="477"/>
    </row>
    <row r="21" spans="1:37" ht="16.8" thickTop="1" thickBot="1">
      <c r="A21" s="1360" t="s">
        <v>1559</v>
      </c>
      <c r="B21" s="1361" t="s">
        <v>937</v>
      </c>
      <c r="C21" s="1362" t="e">
        <f>IF(B11&lt;1,1,SUMIF(B55:K55,ROUNDDOWN(B11,0),B56:K56)+(SUMIF(B55:K55,ROUNDUP(B11,0),B56:K56)-SUMIF(B55:K55,ROUNDDOWN(B11,0),B56:K56))*(B11-ROUNDDOWN(B11,0)))</f>
        <v>#DIV/0!</v>
      </c>
      <c r="D21" s="1363"/>
      <c r="E21" s="1364"/>
      <c r="F21" s="361"/>
      <c r="G21" s="361"/>
      <c r="H21" s="658"/>
      <c r="I21" s="659"/>
      <c r="J21" s="366"/>
      <c r="AE21" s="477"/>
      <c r="AF21" s="477"/>
    </row>
    <row r="22" spans="1:37" ht="16.2" thickTop="1">
      <c r="A22" s="1356" t="s">
        <v>1560</v>
      </c>
      <c r="B22" s="1347" t="s">
        <v>198</v>
      </c>
      <c r="C22" s="1357">
        <f ca="1">ROUND(POWER(1+C23,C25-C24)*(POWER(1+C23,C24)-1)/(POWER(1+C23,C25)-1),4)</f>
        <v>1</v>
      </c>
      <c r="D22" s="1358"/>
      <c r="E22" s="1359"/>
      <c r="F22" s="361"/>
      <c r="G22" s="361"/>
      <c r="H22" s="658"/>
      <c r="I22" s="659"/>
      <c r="J22" s="366"/>
      <c r="AE22" s="477"/>
      <c r="AF22" s="477"/>
    </row>
    <row r="23" spans="1:37" ht="15.6">
      <c r="A23" s="729"/>
      <c r="B23" s="671" t="s">
        <v>935</v>
      </c>
      <c r="C23" s="670">
        <f ca="1">AVERAGE(存贷款利率!G3,存贷款利率!I3)</f>
        <v>4.3650000000000008E-2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.6">
      <c r="A24" s="729"/>
      <c r="B24" s="1310" t="s">
        <v>1633</v>
      </c>
      <c r="C24" s="621">
        <f>IF(B24="剩余土地使用年限",主表!B15,主表!B16)</f>
        <v>70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6.2" thickBot="1">
      <c r="A25" s="1368"/>
      <c r="B25" s="1369" t="s">
        <v>1444</v>
      </c>
      <c r="C25" s="1354">
        <f>IF(B5="住宅/居住",70,IF(B5="商业",40,50))</f>
        <v>70</v>
      </c>
      <c r="D25" s="1370"/>
      <c r="E25" s="1371"/>
      <c r="F25" s="361"/>
      <c r="G25" s="361"/>
      <c r="H25" s="658"/>
      <c r="I25" s="659"/>
      <c r="J25" s="366"/>
      <c r="AE25" s="477"/>
      <c r="AF25" s="477"/>
    </row>
    <row r="26" spans="1:37" ht="16.2" thickTop="1">
      <c r="A26" s="1290" t="s">
        <v>939</v>
      </c>
      <c r="B26" s="1365" t="s">
        <v>942</v>
      </c>
      <c r="C26" s="1366" t="s">
        <v>946</v>
      </c>
      <c r="D26" s="1366" t="s">
        <v>1339</v>
      </c>
      <c r="E26" s="1367" t="s">
        <v>955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.6">
      <c r="A27" s="1827" t="s">
        <v>1337</v>
      </c>
      <c r="B27" s="761" t="s">
        <v>1324</v>
      </c>
      <c r="C27" s="621" t="e">
        <f>ROUND(C28/B11,0)</f>
        <v>#DIV/0!</v>
      </c>
      <c r="D27" s="630">
        <f>B9</f>
        <v>70.400000000000006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.6">
      <c r="A28" s="1828"/>
      <c r="B28" s="766" t="s">
        <v>1327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.6">
      <c r="A29" s="1829" t="s">
        <v>1450</v>
      </c>
      <c r="B29" s="748" t="s">
        <v>1451</v>
      </c>
      <c r="C29" s="635" t="e">
        <f>ROUND(C30/B11,0)</f>
        <v>#DIV/0!</v>
      </c>
      <c r="D29" s="636">
        <f>B9</f>
        <v>70.400000000000006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6.2" thickBot="1">
      <c r="A30" s="1848"/>
      <c r="B30" s="952" t="s">
        <v>1452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4.4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4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4.4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6" thickBot="1">
      <c r="A35" s="660"/>
      <c r="B35" s="660" t="s">
        <v>1390</v>
      </c>
      <c r="C35" s="660"/>
      <c r="D35" s="660" t="s">
        <v>1391</v>
      </c>
      <c r="E35" s="660" t="s">
        <v>1392</v>
      </c>
      <c r="F35" s="660" t="s">
        <v>1393</v>
      </c>
      <c r="G35" s="660" t="s">
        <v>1394</v>
      </c>
      <c r="H35" s="660" t="s">
        <v>1395</v>
      </c>
      <c r="I35" s="660" t="s">
        <v>1396</v>
      </c>
      <c r="J35" s="660" t="s">
        <v>1397</v>
      </c>
      <c r="K35" s="660" t="s">
        <v>1398</v>
      </c>
      <c r="L35" s="660" t="s">
        <v>1399</v>
      </c>
      <c r="M35" s="660" t="s">
        <v>1400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3.2">
      <c r="A36" s="1846" t="s">
        <v>1403</v>
      </c>
      <c r="B36" s="955" t="s">
        <v>1404</v>
      </c>
      <c r="C36" s="956" t="s">
        <v>1405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3.2">
      <c r="A37" s="1847"/>
      <c r="B37" s="959" t="s">
        <v>1407</v>
      </c>
      <c r="C37" s="960" t="s">
        <v>1405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3.2">
      <c r="A38" s="1847"/>
      <c r="B38" s="959" t="s">
        <v>1408</v>
      </c>
      <c r="C38" s="960" t="s">
        <v>1405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8" thickBot="1">
      <c r="A39" s="1847"/>
      <c r="B39" s="962" t="s">
        <v>1409</v>
      </c>
      <c r="C39" s="963" t="s">
        <v>1405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3.2">
      <c r="A40" s="1847"/>
      <c r="B40" s="955" t="s">
        <v>1404</v>
      </c>
      <c r="C40" s="956" t="s">
        <v>1406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3.2">
      <c r="A41" s="1847"/>
      <c r="B41" s="959" t="s">
        <v>1407</v>
      </c>
      <c r="C41" s="960" t="s">
        <v>1406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3.2">
      <c r="A42" s="1847"/>
      <c r="B42" s="959" t="s">
        <v>1408</v>
      </c>
      <c r="C42" s="960" t="s">
        <v>1406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8" thickBot="1">
      <c r="A43" s="1847"/>
      <c r="B43" s="962" t="s">
        <v>1409</v>
      </c>
      <c r="C43" s="963" t="s">
        <v>1406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3.2">
      <c r="A44" s="1835" t="s">
        <v>1410</v>
      </c>
      <c r="B44" s="966" t="s">
        <v>1411</v>
      </c>
      <c r="C44" s="956" t="s">
        <v>1405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3.2">
      <c r="A45" s="1836"/>
      <c r="B45" s="967" t="s">
        <v>1412</v>
      </c>
      <c r="C45" s="960" t="s">
        <v>1405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8" thickBot="1">
      <c r="A46" s="1836"/>
      <c r="B46" s="968" t="s">
        <v>1413</v>
      </c>
      <c r="C46" s="963" t="s">
        <v>1405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3.2">
      <c r="A47" s="1836"/>
      <c r="B47" s="966" t="s">
        <v>1411</v>
      </c>
      <c r="C47" s="956" t="s">
        <v>1406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3.2">
      <c r="A48" s="1836"/>
      <c r="B48" s="967" t="s">
        <v>1412</v>
      </c>
      <c r="C48" s="960" t="s">
        <v>1406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8" thickBot="1">
      <c r="A49" s="1837"/>
      <c r="B49" s="968" t="s">
        <v>1413</v>
      </c>
      <c r="C49" s="963" t="s">
        <v>1406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3.2">
      <c r="A50" s="1836" t="s">
        <v>1414</v>
      </c>
      <c r="B50" s="966" t="s">
        <v>1443</v>
      </c>
      <c r="C50" s="956" t="s">
        <v>1405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8" thickBot="1">
      <c r="A51" s="1836"/>
      <c r="B51" s="968" t="s">
        <v>1417</v>
      </c>
      <c r="C51" s="963" t="s">
        <v>1405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3.2">
      <c r="A52" s="1836"/>
      <c r="B52" s="966" t="s">
        <v>1416</v>
      </c>
      <c r="C52" s="956" t="s">
        <v>1406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8" thickBot="1">
      <c r="A53" s="1837"/>
      <c r="B53" s="968" t="s">
        <v>1417</v>
      </c>
      <c r="C53" s="963" t="s">
        <v>1406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3.2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3.2">
      <c r="A55" s="352" t="s">
        <v>1389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3.2">
      <c r="A56" s="512" t="s">
        <v>1175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3.8"/>
  <cols>
    <col min="1" max="1" width="11.88671875" style="40" customWidth="1"/>
    <col min="2" max="2" width="15.77734375" style="40" customWidth="1"/>
    <col min="3" max="3" width="14.33203125" style="40" customWidth="1"/>
    <col min="4" max="4" width="12.21875" style="40" customWidth="1"/>
    <col min="5" max="5" width="14.33203125" style="40" customWidth="1"/>
    <col min="6" max="6" width="12.21875" style="40" customWidth="1"/>
    <col min="7" max="7" width="14.44140625" style="40" customWidth="1"/>
    <col min="8" max="8" width="12.21875" style="40" customWidth="1"/>
    <col min="9" max="9" width="14.44140625" style="40" customWidth="1"/>
    <col min="10" max="10" width="12.21875" style="40" customWidth="1"/>
    <col min="11" max="11" width="12.21875" style="78" customWidth="1"/>
    <col min="12" max="12" width="12.21875" style="79" customWidth="1"/>
    <col min="13" max="15" width="12.21875" style="40" customWidth="1"/>
    <col min="16" max="16" width="4.77734375" style="40" customWidth="1"/>
    <col min="17" max="17" width="19.44140625" style="40" customWidth="1"/>
    <col min="18" max="22" width="6.109375" style="40" customWidth="1"/>
    <col min="23" max="23" width="5.77734375" style="40" customWidth="1"/>
    <col min="24" max="24" width="4.21875" style="40" customWidth="1"/>
    <col min="25" max="25" width="3.44140625" style="40" customWidth="1"/>
    <col min="26" max="26" width="19.77734375" style="40" customWidth="1"/>
    <col min="27" max="28" width="9.33203125" style="40" customWidth="1"/>
    <col min="29" max="16384" width="9" style="40"/>
  </cols>
  <sheetData>
    <row r="1" spans="1:30" s="37" customFormat="1" ht="28.5" customHeight="1">
      <c r="A1" s="33" t="s">
        <v>131</v>
      </c>
      <c r="B1" s="34"/>
      <c r="C1" s="35" t="s">
        <v>132</v>
      </c>
      <c r="D1" s="192"/>
      <c r="E1" s="192"/>
      <c r="F1" s="191" t="s">
        <v>88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86</v>
      </c>
      <c r="B2" s="159" t="e">
        <f>#REF!</f>
        <v>#REF!</v>
      </c>
      <c r="C2" s="440" t="s">
        <v>1141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87</v>
      </c>
      <c r="B3" s="141" t="e">
        <f>C48</f>
        <v>#DIV/0!</v>
      </c>
      <c r="C3" s="190" t="s">
        <v>1142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4.4">
      <c r="A4" s="38" t="s">
        <v>89</v>
      </c>
      <c r="B4" s="39"/>
      <c r="C4" s="1872" t="s">
        <v>90</v>
      </c>
      <c r="D4" s="1873"/>
      <c r="E4" s="1874" t="s">
        <v>91</v>
      </c>
      <c r="F4" s="1875"/>
      <c r="G4" s="1872" t="s">
        <v>92</v>
      </c>
      <c r="H4" s="1873"/>
      <c r="I4" s="1872" t="s">
        <v>93</v>
      </c>
      <c r="J4" s="1873"/>
      <c r="K4" s="142" t="s">
        <v>94</v>
      </c>
      <c r="L4" s="448"/>
      <c r="M4" s="449"/>
      <c r="N4" s="449"/>
      <c r="O4" s="449"/>
      <c r="P4" s="1876" t="s">
        <v>95</v>
      </c>
      <c r="Q4" s="1877"/>
      <c r="R4" s="1859" t="s">
        <v>91</v>
      </c>
      <c r="S4" s="1860"/>
      <c r="T4" s="1859" t="s">
        <v>92</v>
      </c>
      <c r="U4" s="1860"/>
      <c r="V4" s="1856" t="s">
        <v>93</v>
      </c>
      <c r="W4" s="1856"/>
      <c r="X4" s="201"/>
      <c r="Y4" s="1859" t="s">
        <v>95</v>
      </c>
      <c r="Z4" s="1860"/>
      <c r="AA4" s="1869" t="s">
        <v>91</v>
      </c>
      <c r="AB4" s="1870" t="s">
        <v>92</v>
      </c>
      <c r="AC4" s="1869" t="s">
        <v>93</v>
      </c>
    </row>
    <row r="5" spans="1:30" ht="14.4">
      <c r="A5" s="41"/>
      <c r="B5" s="42"/>
      <c r="C5" s="1884" t="s">
        <v>226</v>
      </c>
      <c r="D5" s="1885"/>
      <c r="E5" s="1882" t="s">
        <v>227</v>
      </c>
      <c r="F5" s="1883"/>
      <c r="G5" s="1884" t="s">
        <v>230</v>
      </c>
      <c r="H5" s="1885"/>
      <c r="I5" s="1884" t="s">
        <v>228</v>
      </c>
      <c r="J5" s="1885"/>
      <c r="K5" s="142"/>
      <c r="L5" s="448"/>
      <c r="M5" s="449"/>
      <c r="N5" s="449"/>
      <c r="O5" s="449"/>
      <c r="P5" s="1878"/>
      <c r="Q5" s="1879"/>
      <c r="R5" s="1861"/>
      <c r="S5" s="1862"/>
      <c r="T5" s="1861"/>
      <c r="U5" s="1862"/>
      <c r="V5" s="1856"/>
      <c r="W5" s="1856"/>
      <c r="X5" s="201"/>
      <c r="Y5" s="1861"/>
      <c r="Z5" s="1862"/>
      <c r="AA5" s="1870"/>
      <c r="AB5" s="1870"/>
      <c r="AC5" s="1870"/>
    </row>
    <row r="6" spans="1:30" ht="15" thickBot="1">
      <c r="A6" s="43"/>
      <c r="B6" s="44"/>
      <c r="C6" s="1886" t="s">
        <v>229</v>
      </c>
      <c r="D6" s="1887"/>
      <c r="E6" s="1888" t="s">
        <v>229</v>
      </c>
      <c r="F6" s="1889"/>
      <c r="G6" s="1886" t="s">
        <v>229</v>
      </c>
      <c r="H6" s="1887"/>
      <c r="I6" s="1886" t="s">
        <v>229</v>
      </c>
      <c r="J6" s="1887"/>
      <c r="K6" s="142" t="s">
        <v>96</v>
      </c>
      <c r="L6" s="448"/>
      <c r="M6" s="449"/>
      <c r="N6" s="449"/>
      <c r="O6" s="449"/>
      <c r="P6" s="1880"/>
      <c r="Q6" s="1881"/>
      <c r="R6" s="1861"/>
      <c r="S6" s="1862"/>
      <c r="T6" s="1863"/>
      <c r="U6" s="1864"/>
      <c r="V6" s="1856"/>
      <c r="W6" s="1856"/>
      <c r="X6" s="201"/>
      <c r="Y6" s="1863"/>
      <c r="Z6" s="1864"/>
      <c r="AA6" s="1871"/>
      <c r="AB6" s="1871"/>
      <c r="AC6" s="1871"/>
    </row>
    <row r="7" spans="1:30" s="22" customFormat="1" ht="15.6" thickBot="1">
      <c r="A7" s="45" t="s">
        <v>97</v>
      </c>
      <c r="B7" s="46"/>
      <c r="C7" s="1343">
        <f>主表!B4</f>
        <v>39948</v>
      </c>
      <c r="D7" s="47">
        <v>100</v>
      </c>
      <c r="E7" s="149"/>
      <c r="F7" s="1135">
        <f>IF(E7&lt;C7,100-K7*DATEDIF(E7,C7,"m"),100+K7*DATEDIF(C7,E7,"m"))</f>
        <v>100</v>
      </c>
      <c r="G7" s="150"/>
      <c r="H7" s="1136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7" t="s">
        <v>98</v>
      </c>
      <c r="Q7" s="1865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7" t="s">
        <v>98</v>
      </c>
      <c r="Z7" s="1858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" thickBot="1">
      <c r="A8" s="45" t="s">
        <v>99</v>
      </c>
      <c r="B8" s="46"/>
      <c r="C8" s="641" t="s">
        <v>26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7" t="s">
        <v>124</v>
      </c>
      <c r="Q8" s="1858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7" t="s">
        <v>124</v>
      </c>
      <c r="Z8" s="1858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4.4">
      <c r="A9" s="49" t="s">
        <v>100</v>
      </c>
      <c r="B9" s="21" t="s">
        <v>116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49" t="s">
        <v>101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8" t="s">
        <v>102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8.8" hidden="1">
      <c r="A10" s="50"/>
      <c r="B10" s="51" t="s">
        <v>103</v>
      </c>
      <c r="C10" s="1151">
        <v>0</v>
      </c>
      <c r="D10" s="24">
        <v>100</v>
      </c>
      <c r="E10" s="1487"/>
      <c r="F10" s="24">
        <v>100</v>
      </c>
      <c r="G10" s="1314"/>
      <c r="H10" s="24">
        <v>100</v>
      </c>
      <c r="I10" s="1314"/>
      <c r="J10" s="24">
        <v>100</v>
      </c>
      <c r="K10" s="160"/>
      <c r="L10" s="453"/>
      <c r="M10" s="454"/>
      <c r="N10" s="454"/>
      <c r="O10" s="455"/>
      <c r="P10" s="1849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8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0" t="s">
        <v>1218</v>
      </c>
      <c r="C11" s="1035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49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8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6" thickBot="1">
      <c r="A12" s="1062"/>
      <c r="B12" s="1038" t="s">
        <v>1531</v>
      </c>
      <c r="C12" s="1063" t="str">
        <f>主表!B10</f>
        <v>三级</v>
      </c>
      <c r="D12" s="1064">
        <v>100</v>
      </c>
      <c r="E12" s="1065"/>
      <c r="F12" s="25">
        <f>SUMIF(70:70,E12,71:71)-SUMIF(70:70,C12,71:71)+100</f>
        <v>0</v>
      </c>
      <c r="G12" s="1065"/>
      <c r="H12" s="25">
        <f>SUMIF(70:70,G12,71:71)-SUMIF(70:70,C12,71:71)+100</f>
        <v>0</v>
      </c>
      <c r="I12" s="1065"/>
      <c r="J12" s="25">
        <f>SUMIF(70:70,I12,71:71)-SUMIF(70:70,C12,71:71)+100</f>
        <v>0</v>
      </c>
      <c r="K12" s="161"/>
      <c r="L12" s="450"/>
      <c r="M12" s="451"/>
      <c r="N12" s="451"/>
      <c r="O12" s="452"/>
      <c r="P12" s="1849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8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5">
        <v>111</v>
      </c>
      <c r="C13" s="1060">
        <v>111</v>
      </c>
      <c r="D13" s="61">
        <v>100</v>
      </c>
      <c r="E13" s="1315"/>
      <c r="F13" s="1061">
        <f>SUMIF(72:72,E13,73:73)-SUMIF(72:72,C13,73:73)+100</f>
        <v>0</v>
      </c>
      <c r="G13" s="1332"/>
      <c r="H13" s="61">
        <f>SUMIF(72:72,G13,73:73)-SUMIF(72:72,C13,73:73)+100</f>
        <v>0</v>
      </c>
      <c r="I13" s="1332"/>
      <c r="J13" s="61">
        <f>SUMIF(72:72,I13,73:73)-SUMIF(72:72,C13,73:73)+100</f>
        <v>0</v>
      </c>
      <c r="K13" s="1339"/>
      <c r="L13" s="458"/>
      <c r="M13" s="449"/>
      <c r="N13" s="449"/>
      <c r="O13" s="457"/>
      <c r="P13" s="1849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8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6" hidden="1" thickBot="1">
      <c r="A14" s="57"/>
      <c r="B14" s="1039">
        <v>111</v>
      </c>
      <c r="C14" s="1040">
        <v>111</v>
      </c>
      <c r="D14" s="58">
        <v>100</v>
      </c>
      <c r="E14" s="1316"/>
      <c r="F14" s="58">
        <f>SUMIF(74:74,E14,75:75)-SUMIF(74:74,C14,75:75)+100</f>
        <v>0</v>
      </c>
      <c r="G14" s="1333"/>
      <c r="H14" s="58">
        <f>SUMIF(74:74,G14,75:75)-SUMIF(74:74,C14,75:75)+100</f>
        <v>0</v>
      </c>
      <c r="I14" s="1333"/>
      <c r="J14" s="58">
        <f>SUMIF(74:74,I14,75:75)-SUMIF(74:74,C14,75:75)+100</f>
        <v>0</v>
      </c>
      <c r="K14" s="1339"/>
      <c r="L14" s="458"/>
      <c r="M14" s="449"/>
      <c r="N14" s="449"/>
      <c r="O14" s="457"/>
      <c r="P14" s="1849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8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100.8" hidden="1">
      <c r="A15" s="59" t="s">
        <v>105</v>
      </c>
      <c r="B15" s="1041" t="s">
        <v>85</v>
      </c>
      <c r="C15" s="1046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7"/>
      <c r="F15" s="60">
        <f>SUMIF(76:76,E16,77:77)-SUMIF(76:76,C16,77:77)+100</f>
        <v>0</v>
      </c>
      <c r="G15" s="1317"/>
      <c r="H15" s="60">
        <f>SUMIF(76:76,G16,77:77)-SUMIF(76:76,C16,77:77)+100</f>
        <v>0</v>
      </c>
      <c r="I15" s="1335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6" t="s">
        <v>106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6" t="s">
        <v>106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2"/>
      <c r="C16" s="1052" t="s">
        <v>15</v>
      </c>
      <c r="D16" s="61"/>
      <c r="E16" s="1318"/>
      <c r="F16" s="61"/>
      <c r="G16" s="1322"/>
      <c r="H16" s="62"/>
      <c r="I16" s="1322"/>
      <c r="J16" s="61"/>
      <c r="K16" s="1339"/>
      <c r="L16" s="458"/>
      <c r="M16" s="449"/>
      <c r="N16" s="449"/>
      <c r="O16" s="457"/>
      <c r="P16" s="1867"/>
      <c r="Q16" s="206"/>
      <c r="R16" s="207"/>
      <c r="S16" s="208"/>
      <c r="T16" s="207"/>
      <c r="U16" s="208"/>
      <c r="V16" s="207"/>
      <c r="W16" s="208"/>
      <c r="X16" s="201"/>
      <c r="Y16" s="1867"/>
      <c r="Z16" s="209"/>
      <c r="AA16" s="210">
        <v>1</v>
      </c>
      <c r="AB16" s="210">
        <v>1</v>
      </c>
      <c r="AC16" s="210">
        <v>1</v>
      </c>
    </row>
    <row r="17" spans="1:29" ht="86.4" hidden="1">
      <c r="A17" s="53"/>
      <c r="B17" s="1043" t="s">
        <v>125</v>
      </c>
      <c r="C17" s="1047" t="str">
        <f>估价对象房地状况!C4</f>
        <v>估价对象位于XX商圈，周边商业氛围成熟，人流量大，商业繁华度好</v>
      </c>
      <c r="D17" s="62">
        <v>100</v>
      </c>
      <c r="E17" s="1319"/>
      <c r="F17" s="62">
        <f>SUMIF(78:78,E18,79:79)-SUMIF(78:78,C18,79:79)+100</f>
        <v>0</v>
      </c>
      <c r="G17" s="1319"/>
      <c r="H17" s="63">
        <f>SUMIF(78:78,G18,79:79)-SUMIF(78:78,C18,79:79)+100</f>
        <v>0</v>
      </c>
      <c r="I17" s="1334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7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7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4" t="s">
        <v>15</v>
      </c>
      <c r="D18" s="62"/>
      <c r="E18" s="1320"/>
      <c r="F18" s="62"/>
      <c r="G18" s="1320"/>
      <c r="H18" s="61"/>
      <c r="I18" s="1320"/>
      <c r="J18" s="61"/>
      <c r="K18" s="1339"/>
      <c r="L18" s="458"/>
      <c r="M18" s="449"/>
      <c r="N18" s="449"/>
      <c r="O18" s="457"/>
      <c r="P18" s="1867"/>
      <c r="Q18" s="206"/>
      <c r="R18" s="207"/>
      <c r="S18" s="208"/>
      <c r="T18" s="207"/>
      <c r="U18" s="208"/>
      <c r="V18" s="207"/>
      <c r="W18" s="208"/>
      <c r="X18" s="201"/>
      <c r="Y18" s="1867"/>
      <c r="Z18" s="209"/>
      <c r="AA18" s="210">
        <v>1</v>
      </c>
      <c r="AB18" s="210">
        <v>1</v>
      </c>
      <c r="AC18" s="210">
        <v>1</v>
      </c>
    </row>
    <row r="19" spans="1:29" ht="86.4" hidden="1">
      <c r="A19" s="53"/>
      <c r="B19" s="1043" t="s">
        <v>127</v>
      </c>
      <c r="C19" s="1047" t="str">
        <f>估价对象房地状况!C5</f>
        <v>估价对象位于XX商圈，周边办公楼项目较多，入驻率高，办公集聚程度较好</v>
      </c>
      <c r="D19" s="63">
        <v>100</v>
      </c>
      <c r="E19" s="1321"/>
      <c r="F19" s="63">
        <f>SUMIF(80:80,E20,81:81)-SUMIF(80:80,C20,81:81)+100</f>
        <v>0</v>
      </c>
      <c r="G19" s="1321"/>
      <c r="H19" s="62">
        <f>SUMIF(80:80,G20,81:81)-SUMIF(80:80,C20,81:81)+100</f>
        <v>0</v>
      </c>
      <c r="I19" s="1336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7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7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2" t="s">
        <v>15</v>
      </c>
      <c r="D20" s="61"/>
      <c r="E20" s="1322"/>
      <c r="F20" s="61"/>
      <c r="G20" s="1322"/>
      <c r="H20" s="61"/>
      <c r="I20" s="1322"/>
      <c r="J20" s="61"/>
      <c r="K20" s="1339"/>
      <c r="L20" s="458"/>
      <c r="M20" s="449"/>
      <c r="N20" s="449"/>
      <c r="O20" s="457"/>
      <c r="P20" s="1867"/>
      <c r="Q20" s="206"/>
      <c r="R20" s="207"/>
      <c r="S20" s="208"/>
      <c r="T20" s="207"/>
      <c r="U20" s="208"/>
      <c r="V20" s="207"/>
      <c r="W20" s="208"/>
      <c r="X20" s="201"/>
      <c r="Y20" s="1867"/>
      <c r="Z20" s="209"/>
      <c r="AA20" s="210">
        <v>1</v>
      </c>
      <c r="AB20" s="210">
        <v>1</v>
      </c>
      <c r="AC20" s="210">
        <v>1</v>
      </c>
    </row>
    <row r="21" spans="1:29" ht="100.8" hidden="1">
      <c r="A21" s="53"/>
      <c r="B21" s="1043" t="s">
        <v>130</v>
      </c>
      <c r="C21" s="1048" t="str">
        <f>估价对象房地状况!C6</f>
        <v>估价对象周边道路状况、公共交通通达情况、停车便捷程度，综合评价交通便捷度较好</v>
      </c>
      <c r="D21" s="62">
        <v>100</v>
      </c>
      <c r="E21" s="1319"/>
      <c r="F21" s="63">
        <f>SUMIF(82:82,E22,83:83)-SUMIF(82:82,C22,83:83)+100</f>
        <v>0</v>
      </c>
      <c r="G21" s="1319"/>
      <c r="H21" s="62">
        <f>SUMIF(82:82,G22,83:83)-SUMIF(82:82,C22,83:83)+100</f>
        <v>0</v>
      </c>
      <c r="I21" s="1334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7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7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4"/>
      <c r="C22" s="1052" t="s">
        <v>15</v>
      </c>
      <c r="D22" s="62"/>
      <c r="E22" s="1322"/>
      <c r="F22" s="61"/>
      <c r="G22" s="1322"/>
      <c r="H22" s="61"/>
      <c r="I22" s="1322"/>
      <c r="J22" s="61"/>
      <c r="K22" s="1339"/>
      <c r="L22" s="458"/>
      <c r="M22" s="449"/>
      <c r="N22" s="449"/>
      <c r="O22" s="457"/>
      <c r="P22" s="1867"/>
      <c r="Q22" s="206"/>
      <c r="R22" s="207"/>
      <c r="S22" s="208"/>
      <c r="T22" s="207"/>
      <c r="U22" s="208"/>
      <c r="V22" s="207"/>
      <c r="W22" s="208"/>
      <c r="X22" s="201"/>
      <c r="Y22" s="1867"/>
      <c r="Z22" s="209"/>
      <c r="AA22" s="210">
        <v>1</v>
      </c>
      <c r="AB22" s="210">
        <v>1</v>
      </c>
      <c r="AC22" s="210">
        <v>1</v>
      </c>
    </row>
    <row r="23" spans="1:29" ht="43.2" hidden="1">
      <c r="A23" s="41"/>
      <c r="B23" s="1043" t="s">
        <v>133</v>
      </c>
      <c r="C23" s="1049" t="str">
        <f>估价对象房地状况!C7</f>
        <v>零星有其他用地，基本不影响本宗地</v>
      </c>
      <c r="D23" s="63">
        <v>100</v>
      </c>
      <c r="E23" s="1319"/>
      <c r="F23" s="63">
        <f>SUMIF(84:84,E24,85:85)-SUMIF(84:84,C24,85:85)+100</f>
        <v>0</v>
      </c>
      <c r="G23" s="1334"/>
      <c r="H23" s="63">
        <f>SUMIF(84:84,G24,85:85)-SUMIF(84:84,C24,85:85)+100</f>
        <v>0</v>
      </c>
      <c r="I23" s="1334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7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7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2" t="s">
        <v>15</v>
      </c>
      <c r="D24" s="1050"/>
      <c r="E24" s="1323"/>
      <c r="F24" s="61"/>
      <c r="G24" s="1323"/>
      <c r="H24" s="61"/>
      <c r="I24" s="1323"/>
      <c r="J24" s="61"/>
      <c r="K24" s="1339"/>
      <c r="L24" s="458"/>
      <c r="M24" s="449"/>
      <c r="N24" s="449"/>
      <c r="O24" s="457"/>
      <c r="P24" s="1867"/>
      <c r="Q24" s="235"/>
      <c r="R24" s="207"/>
      <c r="S24" s="208"/>
      <c r="T24" s="207"/>
      <c r="U24" s="208"/>
      <c r="V24" s="207"/>
      <c r="W24" s="208"/>
      <c r="X24" s="234"/>
      <c r="Y24" s="1867"/>
      <c r="Z24" s="236"/>
      <c r="AA24" s="210"/>
      <c r="AB24" s="210"/>
      <c r="AC24" s="210"/>
    </row>
    <row r="25" spans="1:29" ht="57.6" hidden="1">
      <c r="A25" s="41"/>
      <c r="B25" s="1044" t="s">
        <v>134</v>
      </c>
      <c r="C25" s="1051" t="str">
        <f>估价对象房地状况!C8</f>
        <v>区域自然环境：；人文环境；综合评价环境状况一般</v>
      </c>
      <c r="D25" s="62">
        <v>100</v>
      </c>
      <c r="E25" s="1319"/>
      <c r="F25" s="62">
        <f>SUMIF(86:86,E26,87:87)-SUMIF(86:86,C26,87:87)+100</f>
        <v>0</v>
      </c>
      <c r="G25" s="1319"/>
      <c r="H25" s="62">
        <f>SUMIF(86:86,G26,87:87)-SUMIF(86:86,C26,87:87)+100</f>
        <v>0</v>
      </c>
      <c r="I25" s="1334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7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7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2" t="s">
        <v>15</v>
      </c>
      <c r="D26" s="61"/>
      <c r="E26" s="1323"/>
      <c r="F26" s="61"/>
      <c r="G26" s="1323"/>
      <c r="H26" s="61"/>
      <c r="I26" s="1323"/>
      <c r="J26" s="61"/>
      <c r="K26" s="1339"/>
      <c r="L26" s="458"/>
      <c r="M26" s="449"/>
      <c r="N26" s="449"/>
      <c r="O26" s="457"/>
      <c r="P26" s="1867"/>
      <c r="Q26" s="206"/>
      <c r="R26" s="207"/>
      <c r="S26" s="208"/>
      <c r="T26" s="207"/>
      <c r="U26" s="208"/>
      <c r="V26" s="207"/>
      <c r="W26" s="208"/>
      <c r="X26" s="201"/>
      <c r="Y26" s="1867"/>
      <c r="Z26" s="209"/>
      <c r="AA26" s="210">
        <v>1</v>
      </c>
      <c r="AB26" s="210">
        <v>1</v>
      </c>
      <c r="AC26" s="210">
        <v>1</v>
      </c>
    </row>
    <row r="27" spans="1:29" s="22" customFormat="1" ht="43.2" hidden="1">
      <c r="A27" s="147"/>
      <c r="B27" s="1045" t="s">
        <v>1197</v>
      </c>
      <c r="C27" s="1048" t="str">
        <f>估价对象房地状况!C9</f>
        <v>估价对象所在区域公共配套设施齐备情况</v>
      </c>
      <c r="D27" s="62">
        <v>100</v>
      </c>
      <c r="E27" s="1319"/>
      <c r="F27" s="62">
        <f>SUMIF(88:88,E28,89:89)-SUMIF(88:88,C28,89:89)+100</f>
        <v>0</v>
      </c>
      <c r="G27" s="1319"/>
      <c r="H27" s="62">
        <f>SUMIF(88:88,G28,89:89)-SUMIF(88:88,C28,89:89)+100</f>
        <v>0</v>
      </c>
      <c r="I27" s="1334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7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7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5" t="s">
        <v>15</v>
      </c>
      <c r="D28" s="61"/>
      <c r="E28" s="1324"/>
      <c r="F28" s="61"/>
      <c r="G28" s="1324"/>
      <c r="H28" s="61"/>
      <c r="I28" s="1324"/>
      <c r="J28" s="61"/>
      <c r="K28" s="1339"/>
      <c r="L28" s="450"/>
      <c r="M28" s="451"/>
      <c r="N28" s="451"/>
      <c r="O28" s="452"/>
      <c r="P28" s="1867"/>
      <c r="Q28" s="18"/>
      <c r="R28" s="202"/>
      <c r="S28" s="203"/>
      <c r="T28" s="202"/>
      <c r="U28" s="203"/>
      <c r="V28" s="202"/>
      <c r="W28" s="203"/>
      <c r="X28" s="204"/>
      <c r="Y28" s="1867"/>
      <c r="Z28" s="20"/>
      <c r="AA28" s="210">
        <v>1</v>
      </c>
      <c r="AB28" s="210">
        <v>1</v>
      </c>
      <c r="AC28" s="210">
        <v>1</v>
      </c>
    </row>
    <row r="29" spans="1:29" s="22" customFormat="1" ht="43.2" hidden="1">
      <c r="A29" s="147"/>
      <c r="B29" s="1045" t="s">
        <v>1198</v>
      </c>
      <c r="C29" s="1048" t="str">
        <f>估价对象房地状况!C10</f>
        <v>估价对象所在区域基础设施水平</v>
      </c>
      <c r="D29" s="62">
        <v>100</v>
      </c>
      <c r="E29" s="1319"/>
      <c r="F29" s="62">
        <f>SUMIF(90:90,E30,91:91)-SUMIF(90:90,C30,91:91)+100</f>
        <v>0</v>
      </c>
      <c r="G29" s="1319"/>
      <c r="H29" s="62">
        <f>SUMIF(90:90,G30,91:91)-SUMIF(90:90,C30,91:91)+100</f>
        <v>0</v>
      </c>
      <c r="I29" s="1334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7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7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5" t="s">
        <v>5</v>
      </c>
      <c r="D30" s="61"/>
      <c r="E30" s="1324"/>
      <c r="F30" s="61"/>
      <c r="G30" s="1324"/>
      <c r="H30" s="61"/>
      <c r="I30" s="1324"/>
      <c r="J30" s="61"/>
      <c r="K30" s="1339"/>
      <c r="L30" s="450"/>
      <c r="M30" s="451"/>
      <c r="N30" s="451"/>
      <c r="O30" s="452"/>
      <c r="P30" s="1867"/>
      <c r="Q30" s="497"/>
      <c r="R30" s="202"/>
      <c r="S30" s="203"/>
      <c r="T30" s="202"/>
      <c r="U30" s="203"/>
      <c r="V30" s="202"/>
      <c r="W30" s="203"/>
      <c r="X30" s="204"/>
      <c r="Y30" s="1867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126</v>
      </c>
      <c r="C31" s="1056" t="s">
        <v>28</v>
      </c>
      <c r="D31" s="56">
        <v>100</v>
      </c>
      <c r="E31" s="1325"/>
      <c r="F31" s="56">
        <f>SUMIF(92:92,E31,93:93)-SUMIF(92:92,C31,93:93)+100</f>
        <v>0</v>
      </c>
      <c r="G31" s="1325"/>
      <c r="H31" s="56">
        <f>SUMIF(92:92,G31,93:93)-SUMIF(92:92,C31,93:93)+100</f>
        <v>0</v>
      </c>
      <c r="I31" s="1325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7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7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8" hidden="1">
      <c r="A32" s="53"/>
      <c r="B32" s="1044" t="s">
        <v>128</v>
      </c>
      <c r="C32" s="1053" t="s">
        <v>135</v>
      </c>
      <c r="D32" s="62">
        <v>100</v>
      </c>
      <c r="E32" s="1319"/>
      <c r="F32" s="62">
        <f>SUMIF(94:94,E33,95:95)-SUMIF(94:94,C33,95:95)+100</f>
        <v>0</v>
      </c>
      <c r="G32" s="1319"/>
      <c r="H32" s="62">
        <f>SUMIF(94:94,G33,95:95)-SUMIF(94:94,C33,95:95)+100</f>
        <v>0</v>
      </c>
      <c r="I32" s="1334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7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7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2" t="s">
        <v>21</v>
      </c>
      <c r="D33" s="61"/>
      <c r="E33" s="1323"/>
      <c r="F33" s="61"/>
      <c r="G33" s="1323"/>
      <c r="H33" s="61"/>
      <c r="I33" s="1323"/>
      <c r="J33" s="61"/>
      <c r="K33" s="1340"/>
      <c r="L33" s="458"/>
      <c r="M33" s="449"/>
      <c r="N33" s="449"/>
      <c r="O33" s="457"/>
      <c r="P33" s="1867"/>
      <c r="Q33" s="206"/>
      <c r="R33" s="207"/>
      <c r="S33" s="208"/>
      <c r="T33" s="207"/>
      <c r="U33" s="208"/>
      <c r="V33" s="207"/>
      <c r="W33" s="208"/>
      <c r="X33" s="201"/>
      <c r="Y33" s="1867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136</v>
      </c>
      <c r="C34" s="1056"/>
      <c r="D34" s="56">
        <v>100</v>
      </c>
      <c r="E34" s="1326"/>
      <c r="F34" s="56">
        <f>SUMIF(96:96,E34,97:97)-SUMIF(96:96,C34,97:97)+100</f>
        <v>100</v>
      </c>
      <c r="G34" s="1326"/>
      <c r="H34" s="56">
        <f>SUMIF(96:96,G34,97:97)-SUMIF(96:96,C34,97:97)+100</f>
        <v>100</v>
      </c>
      <c r="I34" s="1325"/>
      <c r="J34" s="56">
        <f>SUMIF(96:96,I34,97:97)-SUMIF(96:96,C34,97:97)+100</f>
        <v>100</v>
      </c>
      <c r="K34" s="1341"/>
      <c r="L34" s="458"/>
      <c r="M34" s="449"/>
      <c r="N34" s="449"/>
      <c r="O34" s="457"/>
      <c r="P34" s="1867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7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7">
        <v>111</v>
      </c>
      <c r="C35" s="1058">
        <v>111</v>
      </c>
      <c r="D35" s="56">
        <v>100</v>
      </c>
      <c r="E35" s="1327"/>
      <c r="F35" s="56">
        <f>SUMIF(98:98,E35,99:99)-SUMIF(98:98,C35,99:99)+100</f>
        <v>0</v>
      </c>
      <c r="G35" s="1327"/>
      <c r="H35" s="56">
        <f>SUMIF(98:98,G35,99:99)-SUMIF(98:98,C35,99:99)+100</f>
        <v>0</v>
      </c>
      <c r="I35" s="1337"/>
      <c r="J35" s="56">
        <f>SUMIF(98:98,I35,99:99)-SUMIF(98:98,C35,99:99)+100</f>
        <v>0</v>
      </c>
      <c r="K35" s="1340"/>
      <c r="L35" s="458"/>
      <c r="M35" s="449"/>
      <c r="N35" s="449"/>
      <c r="O35" s="457"/>
      <c r="P35" s="1867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7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6" hidden="1" thickBot="1">
      <c r="A36" s="162"/>
      <c r="B36" s="1066">
        <v>111</v>
      </c>
      <c r="C36" s="1059">
        <v>111</v>
      </c>
      <c r="D36" s="63">
        <v>100</v>
      </c>
      <c r="E36" s="1328"/>
      <c r="F36" s="63">
        <f>SUMIF(100:100,E37,101:101)-SUMIF(100:100,C37,101:101)+100</f>
        <v>100</v>
      </c>
      <c r="G36" s="1328"/>
      <c r="H36" s="63">
        <f>SUMIF(100:100,G36,101:101)-SUMIF(100:100,C36,101:101)+100</f>
        <v>0</v>
      </c>
      <c r="I36" s="1338"/>
      <c r="J36" s="63">
        <f>SUMIF(100:100,I36,101:101)-SUMIF(100:100,C36,101:101)+100</f>
        <v>0</v>
      </c>
      <c r="K36" s="1340"/>
      <c r="L36" s="458"/>
      <c r="M36" s="449"/>
      <c r="N36" s="449"/>
      <c r="O36" s="457"/>
      <c r="P36" s="1854" t="s">
        <v>107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55" t="s">
        <v>107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6" thickBot="1">
      <c r="A37" s="1071" t="s">
        <v>1544</v>
      </c>
      <c r="B37" s="1068"/>
      <c r="C37" s="1120"/>
      <c r="D37" s="47">
        <v>100</v>
      </c>
      <c r="E37" s="1120"/>
      <c r="F37" s="1067">
        <f>SUMIF(102:102,E37,103:103)-SUMIF(102:102,C37,103:103)+100</f>
        <v>100</v>
      </c>
      <c r="G37" s="1120"/>
      <c r="H37" s="1067">
        <f>SUMIF(102:102,G37,103:103)-SUMIF(102:102,C37,103:103)+100</f>
        <v>100</v>
      </c>
      <c r="I37" s="1120"/>
      <c r="J37" s="1067">
        <f>SUMIF(102:102,I37,103:103)-SUMIF(102:102,C37,103:103)+100</f>
        <v>100</v>
      </c>
      <c r="K37" s="161"/>
      <c r="L37" s="456"/>
      <c r="M37" s="459"/>
      <c r="N37" s="459"/>
      <c r="O37" s="460"/>
      <c r="P37" s="1855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55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6" hidden="1" thickBot="1">
      <c r="A38" s="154" t="s">
        <v>1545</v>
      </c>
      <c r="B38" s="145" t="s">
        <v>137</v>
      </c>
      <c r="C38" s="1342"/>
      <c r="D38" s="61">
        <v>100</v>
      </c>
      <c r="E38" s="1317"/>
      <c r="F38" s="61">
        <f>LOOKUP(E38,105:105,106:106)-LOOKUP(C38,105:105,106:106)+100</f>
        <v>100</v>
      </c>
      <c r="G38" s="1317"/>
      <c r="H38" s="61">
        <f>LOOKUP(G38,105:105,106:106)-LOOKUP(C38,105:105,106:106)+100</f>
        <v>100</v>
      </c>
      <c r="I38" s="1317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55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55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6" hidden="1" thickBot="1">
      <c r="A39" s="152"/>
      <c r="B39" s="148" t="s">
        <v>138</v>
      </c>
      <c r="C39" s="1329"/>
      <c r="D39" s="56">
        <v>100</v>
      </c>
      <c r="E39" s="1329"/>
      <c r="F39" s="56">
        <f>SUMIF(107:107,E39,108:108)-SUMIF(107:107,C39,108:108)+100</f>
        <v>100</v>
      </c>
      <c r="G39" s="1329"/>
      <c r="H39" s="56">
        <f>SUMIF(107:107,G39,108:108)-SUMIF(107:107,C39,108:108)+100</f>
        <v>100</v>
      </c>
      <c r="I39" s="1329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55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55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6" hidden="1" thickBot="1">
      <c r="A40" s="152"/>
      <c r="B40" s="148" t="s">
        <v>139</v>
      </c>
      <c r="C40" s="1329"/>
      <c r="D40" s="56">
        <v>100</v>
      </c>
      <c r="E40" s="1329"/>
      <c r="F40" s="56">
        <f>SUMIF(109:109,E40,110:110)-SUMIF(109:109,C40,110:110)+100</f>
        <v>100</v>
      </c>
      <c r="G40" s="1329"/>
      <c r="H40" s="56">
        <f>SUMIF(109:109,G40,110:110)-SUMIF(109:109,C40,110:110)+100</f>
        <v>100</v>
      </c>
      <c r="I40" s="1329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55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55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6" hidden="1" thickBot="1">
      <c r="A41" s="152"/>
      <c r="B41" s="148" t="s">
        <v>140</v>
      </c>
      <c r="C41" s="1330"/>
      <c r="D41" s="24">
        <v>100</v>
      </c>
      <c r="E41" s="1330"/>
      <c r="F41" s="56">
        <f>SUMIF(111:111,E41,112:112)-SUMIF(111:111,C41,112:112)+100</f>
        <v>100</v>
      </c>
      <c r="G41" s="1330"/>
      <c r="H41" s="56">
        <f>SUMIF(111:111,G41,112:112)-SUMIF(111:111,C41,112:112)+100</f>
        <v>100</v>
      </c>
      <c r="I41" s="1330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55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55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6" hidden="1" thickBot="1">
      <c r="A42" s="152"/>
      <c r="B42" s="148" t="s">
        <v>141</v>
      </c>
      <c r="C42" s="1329"/>
      <c r="D42" s="56">
        <v>100</v>
      </c>
      <c r="E42" s="1329"/>
      <c r="F42" s="56">
        <f>SUMIF(113:113,E42,114:114)-SUMIF(113:113,C42,114:114)+100</f>
        <v>100</v>
      </c>
      <c r="G42" s="1329"/>
      <c r="H42" s="56">
        <f>SUMIF(113:113,G42,114:114)-SUMIF(113:113,C42,114:114)+100</f>
        <v>100</v>
      </c>
      <c r="I42" s="1329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55" t="s">
        <v>107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55" t="s">
        <v>107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6" hidden="1" thickBot="1">
      <c r="A43" s="152"/>
      <c r="B43" s="1069">
        <v>111</v>
      </c>
      <c r="C43" s="1331"/>
      <c r="D43" s="56">
        <v>100</v>
      </c>
      <c r="E43" s="1331"/>
      <c r="F43" s="56">
        <f>SUMIF(115:115,E43,116:116)-SUMIF(115:115,C43,116:116)+100</f>
        <v>100</v>
      </c>
      <c r="G43" s="1331"/>
      <c r="H43" s="56">
        <f>SUMIF(115:115,G43,116:116)-SUMIF(115:115,C43,116:116)+100</f>
        <v>100</v>
      </c>
      <c r="I43" s="1331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55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55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6" hidden="1" thickBot="1">
      <c r="A44" s="152"/>
      <c r="B44" s="1069">
        <v>111</v>
      </c>
      <c r="C44" s="1331"/>
      <c r="D44" s="56">
        <v>100</v>
      </c>
      <c r="E44" s="1331"/>
      <c r="F44" s="56">
        <f>SUMIF(117:117,E44,118:118)-SUMIF(117:117,C44,118:118)+100</f>
        <v>100</v>
      </c>
      <c r="G44" s="1331"/>
      <c r="H44" s="56">
        <f>SUMIF(117:117,G44,118:118)-SUMIF(117:117,C44,118:118)+100</f>
        <v>100</v>
      </c>
      <c r="I44" s="1331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55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55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6" thickBot="1">
      <c r="A45" s="1072" t="s">
        <v>1546</v>
      </c>
      <c r="B45" s="1070"/>
      <c r="C45" s="1120"/>
      <c r="D45" s="1121">
        <v>100</v>
      </c>
      <c r="E45" s="1120"/>
      <c r="F45" s="58">
        <f>SUMIF(119:119,E45,120:120)-SUMIF(119:119,C45,120:120)+100</f>
        <v>100</v>
      </c>
      <c r="G45" s="1120"/>
      <c r="H45" s="58">
        <f>SUMIF(119:119,G45,120:120)-SUMIF(119:119,C45,120:120)+100</f>
        <v>100</v>
      </c>
      <c r="I45" s="1120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55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55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4.4">
      <c r="A46" s="66" t="s">
        <v>142</v>
      </c>
      <c r="B46" s="10" t="s">
        <v>1737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49" t="str">
        <f>A46</f>
        <v>成交单价</v>
      </c>
      <c r="Q46" s="1849"/>
      <c r="R46" s="1856">
        <f>E46</f>
        <v>0</v>
      </c>
      <c r="S46" s="1856"/>
      <c r="T46" s="1856">
        <f>G46</f>
        <v>0</v>
      </c>
      <c r="U46" s="1856"/>
      <c r="V46" s="1856">
        <f>I46</f>
        <v>0</v>
      </c>
      <c r="W46" s="1856"/>
      <c r="X46" s="196"/>
      <c r="Y46" s="215"/>
      <c r="Z46" s="196"/>
      <c r="AA46" s="196"/>
      <c r="AB46" s="196"/>
      <c r="AC46" s="196"/>
    </row>
    <row r="47" spans="1:29" ht="15" thickBot="1">
      <c r="A47" s="72" t="s">
        <v>108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49" t="str">
        <f>A47</f>
        <v>比较价值（元/平方米）</v>
      </c>
      <c r="Q47" s="1849"/>
      <c r="R47" s="1850" t="e">
        <f>ROUND(PRODUCT(R46,AA7:AA45),0)</f>
        <v>#DIV/0!</v>
      </c>
      <c r="S47" s="1850"/>
      <c r="T47" s="1850" t="e">
        <f>ROUND(PRODUCT(T46,AB7:AB45),0)</f>
        <v>#DIV/0!</v>
      </c>
      <c r="U47" s="1850"/>
      <c r="V47" s="1850" t="e">
        <f>ROUND(PRODUCT(V46,AC7:AC45),0)</f>
        <v>#DIV/0!</v>
      </c>
      <c r="W47" s="1850"/>
      <c r="X47" s="196"/>
      <c r="Y47" s="196"/>
      <c r="Z47" s="196"/>
      <c r="AA47" s="196"/>
      <c r="AB47" s="196"/>
      <c r="AC47" s="196"/>
    </row>
    <row r="48" spans="1:29" ht="15" thickBot="1">
      <c r="A48" s="1152" t="str">
        <f>"估价对象比较价值（"&amp;B46&amp;"，元/平方米）"</f>
        <v>估价对象比较价值（单价内涵，元/平方米）</v>
      </c>
      <c r="B48" s="1153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51" t="str">
        <f>A48</f>
        <v>估价对象比较价值（单价内涵，元/平方米）</v>
      </c>
      <c r="Q48" s="1852"/>
      <c r="R48" s="1853" t="e">
        <f>ROUND(AVERAGE(R47:V47),0)</f>
        <v>#DIV/0!</v>
      </c>
      <c r="S48" s="1853"/>
      <c r="T48" s="1853"/>
      <c r="U48" s="1853"/>
      <c r="V48" s="1853"/>
      <c r="W48" s="1853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109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110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111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2009-5-1</v>
      </c>
      <c r="D56" s="1532">
        <f>EDATE(C56,-3)</f>
        <v>39845</v>
      </c>
      <c r="E56" s="1532">
        <f t="shared" ref="E56:O56" si="15">EDATE(D56,-3)</f>
        <v>39753</v>
      </c>
      <c r="F56" s="1532">
        <f t="shared" si="15"/>
        <v>39661</v>
      </c>
      <c r="G56" s="1532">
        <f t="shared" si="15"/>
        <v>39569</v>
      </c>
      <c r="H56" s="1532">
        <f t="shared" si="15"/>
        <v>39479</v>
      </c>
      <c r="I56" s="1532">
        <f t="shared" si="15"/>
        <v>39387</v>
      </c>
      <c r="J56" s="1532">
        <f t="shared" si="15"/>
        <v>39295</v>
      </c>
      <c r="K56" s="1532">
        <f t="shared" si="15"/>
        <v>39203</v>
      </c>
      <c r="L56" s="1532">
        <f t="shared" si="15"/>
        <v>39114</v>
      </c>
      <c r="M56" s="1532">
        <f t="shared" si="15"/>
        <v>39022</v>
      </c>
      <c r="N56" s="1532">
        <f t="shared" si="15"/>
        <v>38930</v>
      </c>
      <c r="O56" s="1532">
        <f t="shared" si="15"/>
        <v>38838</v>
      </c>
    </row>
    <row r="57" spans="1:17" ht="22.2" thickBot="1">
      <c r="A57" s="1144" t="s">
        <v>112</v>
      </c>
      <c r="B57" s="1145"/>
      <c r="C57" s="1146"/>
      <c r="D57" s="1146"/>
      <c r="E57" s="1146"/>
      <c r="F57" s="1147"/>
      <c r="G57" s="1147"/>
      <c r="H57" s="1146"/>
      <c r="I57" s="1148"/>
      <c r="J57" s="1148"/>
      <c r="K57" s="1149"/>
      <c r="L57" s="1150"/>
      <c r="M57" s="1148"/>
      <c r="N57" s="475"/>
      <c r="O57" s="475"/>
      <c r="P57" s="86"/>
      <c r="Q57" s="87"/>
    </row>
    <row r="58" spans="1:17" s="1140" customFormat="1" ht="14.4">
      <c r="A58" s="88" t="s">
        <v>97</v>
      </c>
      <c r="B58" s="89"/>
      <c r="C58" s="1531" t="str">
        <f>YEAR(C56)&amp;"-"&amp;ROUNDUP(MONTH(C56)/3,0)</f>
        <v>2009-2</v>
      </c>
      <c r="D58" s="1531" t="str">
        <f t="shared" ref="D58:O58" si="16">YEAR(D56)&amp;"-"&amp;ROUNDUP(MONTH(D56)/3,0)</f>
        <v>2009-1</v>
      </c>
      <c r="E58" s="1531" t="str">
        <f t="shared" si="16"/>
        <v>2008-4</v>
      </c>
      <c r="F58" s="1531" t="str">
        <f t="shared" si="16"/>
        <v>2008-3</v>
      </c>
      <c r="G58" s="1531" t="str">
        <f t="shared" si="16"/>
        <v>2008-2</v>
      </c>
      <c r="H58" s="1531" t="str">
        <f t="shared" si="16"/>
        <v>2008-1</v>
      </c>
      <c r="I58" s="1531" t="str">
        <f t="shared" si="16"/>
        <v>2007-4</v>
      </c>
      <c r="J58" s="1531" t="str">
        <f t="shared" si="16"/>
        <v>2007-3</v>
      </c>
      <c r="K58" s="1531" t="str">
        <f t="shared" si="16"/>
        <v>2007-2</v>
      </c>
      <c r="L58" s="1531" t="str">
        <f t="shared" si="16"/>
        <v>2007-1</v>
      </c>
      <c r="M58" s="1531" t="str">
        <f t="shared" si="16"/>
        <v>2006-4</v>
      </c>
      <c r="N58" s="1531" t="str">
        <f t="shared" si="16"/>
        <v>2006-3</v>
      </c>
      <c r="O58" s="1531" t="str">
        <f t="shared" si="16"/>
        <v>2006-2</v>
      </c>
      <c r="P58" s="1139"/>
    </row>
    <row r="59" spans="1:17" s="1079" customFormat="1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7"/>
      <c r="N59" s="92"/>
      <c r="O59" s="1538"/>
      <c r="P59" s="1075"/>
    </row>
    <row r="60" spans="1:17" s="1079" customFormat="1" ht="15" thickBot="1">
      <c r="A60" s="94" t="s">
        <v>113</v>
      </c>
      <c r="B60" s="95"/>
      <c r="C60" s="1141"/>
      <c r="D60" s="1142"/>
      <c r="E60" s="1142"/>
      <c r="F60" s="1142"/>
      <c r="G60" s="1142"/>
      <c r="H60" s="1142"/>
      <c r="I60" s="1142"/>
      <c r="J60" s="1142"/>
      <c r="K60" s="1142"/>
      <c r="L60" s="1142"/>
      <c r="M60" s="1143"/>
      <c r="N60" s="1142"/>
      <c r="O60" s="1530"/>
      <c r="P60" s="1075"/>
      <c r="Q60" s="1075"/>
    </row>
    <row r="61" spans="1:17" s="22" customFormat="1" ht="14.4">
      <c r="A61" s="96" t="s">
        <v>99</v>
      </c>
      <c r="B61" s="91"/>
      <c r="C61" s="97" t="s">
        <v>114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4.4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 ht="14.4">
      <c r="A63" s="99" t="s">
        <v>115</v>
      </c>
      <c r="B63" s="100" t="s">
        <v>116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4.4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9.4" hidden="1" thickTop="1">
      <c r="A65" s="102"/>
      <c r="B65" s="106" t="s">
        <v>103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4.4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" thickTop="1">
      <c r="A67" s="102"/>
      <c r="B67" s="114" t="s">
        <v>104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4.4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" thickTop="1">
      <c r="A70" s="121"/>
      <c r="B70" s="106" t="str">
        <f>B12</f>
        <v>土地级别</v>
      </c>
      <c r="C70" s="1036" t="s">
        <v>1532</v>
      </c>
      <c r="D70" s="1036" t="s">
        <v>1533</v>
      </c>
      <c r="E70" s="1036" t="s">
        <v>1534</v>
      </c>
      <c r="F70" s="1036" t="s">
        <v>1535</v>
      </c>
      <c r="G70" s="1036" t="s">
        <v>1536</v>
      </c>
      <c r="H70" s="1036" t="s">
        <v>1537</v>
      </c>
      <c r="I70" s="1036" t="s">
        <v>1538</v>
      </c>
      <c r="J70" s="1036" t="s">
        <v>1539</v>
      </c>
      <c r="K70" s="1036" t="s">
        <v>1540</v>
      </c>
      <c r="L70" s="1036" t="s">
        <v>1541</v>
      </c>
      <c r="M70" s="1037" t="s">
        <v>1542</v>
      </c>
      <c r="N70" s="1037" t="s">
        <v>1543</v>
      </c>
      <c r="O70" s="474"/>
      <c r="P70" s="122"/>
      <c r="Q70" s="123"/>
    </row>
    <row r="71" spans="1:17" s="65" customFormat="1" ht="14.4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3" customFormat="1" ht="15" hidden="1" thickTop="1">
      <c r="A72" s="121"/>
      <c r="B72" s="106">
        <f>B13</f>
        <v>111</v>
      </c>
      <c r="C72" s="1084">
        <v>111</v>
      </c>
      <c r="D72" s="1084">
        <v>222</v>
      </c>
      <c r="E72" s="1084">
        <v>333</v>
      </c>
      <c r="F72" s="1084">
        <v>444</v>
      </c>
      <c r="G72" s="1084"/>
      <c r="H72" s="1122"/>
      <c r="I72" s="1122"/>
      <c r="J72" s="1122"/>
      <c r="K72" s="1122"/>
      <c r="L72" s="1123"/>
      <c r="M72" s="1124"/>
      <c r="N72" s="1080"/>
      <c r="O72" s="1080"/>
      <c r="P72" s="1125"/>
      <c r="Q72" s="1126"/>
    </row>
    <row r="73" spans="1:17" s="1083" customFormat="1" ht="14.4" hidden="1" thickBot="1">
      <c r="A73" s="121"/>
      <c r="B73" s="111"/>
      <c r="C73" s="1093">
        <v>100</v>
      </c>
      <c r="D73" s="1093">
        <v>99</v>
      </c>
      <c r="E73" s="1093">
        <v>98</v>
      </c>
      <c r="F73" s="1093">
        <v>97</v>
      </c>
      <c r="G73" s="1093"/>
      <c r="H73" s="1127"/>
      <c r="I73" s="1127"/>
      <c r="J73" s="1127"/>
      <c r="K73" s="1127"/>
      <c r="L73" s="1127"/>
      <c r="M73" s="1128"/>
      <c r="N73" s="1080"/>
      <c r="O73" s="1080"/>
      <c r="P73" s="1081"/>
      <c r="Q73" s="1082"/>
    </row>
    <row r="74" spans="1:17" s="1083" customFormat="1" ht="15" hidden="1" thickTop="1">
      <c r="A74" s="121"/>
      <c r="B74" s="114">
        <f>B14</f>
        <v>111</v>
      </c>
      <c r="C74" s="1096">
        <v>111</v>
      </c>
      <c r="D74" s="1096">
        <v>222</v>
      </c>
      <c r="E74" s="1096">
        <v>333</v>
      </c>
      <c r="F74" s="1096">
        <v>444</v>
      </c>
      <c r="G74" s="1096"/>
      <c r="H74" s="1129"/>
      <c r="I74" s="1129"/>
      <c r="J74" s="1129"/>
      <c r="K74" s="1129"/>
      <c r="L74" s="1130"/>
      <c r="M74" s="1131"/>
      <c r="N74" s="1080"/>
      <c r="O74" s="1080"/>
      <c r="P74" s="1132"/>
      <c r="Q74" s="1082"/>
    </row>
    <row r="75" spans="1:17" s="1083" customFormat="1" ht="14.4" hidden="1" thickBot="1">
      <c r="A75" s="124"/>
      <c r="B75" s="125"/>
      <c r="C75" s="1097">
        <v>100</v>
      </c>
      <c r="D75" s="1097">
        <v>98</v>
      </c>
      <c r="E75" s="1097">
        <v>96</v>
      </c>
      <c r="F75" s="1097">
        <v>94</v>
      </c>
      <c r="G75" s="1097"/>
      <c r="H75" s="1133"/>
      <c r="I75" s="1133"/>
      <c r="J75" s="1133"/>
      <c r="K75" s="1133"/>
      <c r="L75" s="1133"/>
      <c r="M75" s="1134"/>
      <c r="N75" s="1080"/>
      <c r="O75" s="1080"/>
      <c r="P75" s="1081"/>
      <c r="Q75" s="1082"/>
    </row>
    <row r="76" spans="1:17" s="1076" customFormat="1" ht="14.4" hidden="1">
      <c r="A76" s="99" t="s">
        <v>105</v>
      </c>
      <c r="B76" s="100" t="s">
        <v>117</v>
      </c>
      <c r="C76" s="126" t="s">
        <v>118</v>
      </c>
      <c r="D76" s="126" t="s">
        <v>119</v>
      </c>
      <c r="E76" s="126" t="s">
        <v>120</v>
      </c>
      <c r="F76" s="126" t="s">
        <v>121</v>
      </c>
      <c r="G76" s="126" t="s">
        <v>122</v>
      </c>
      <c r="H76" s="101"/>
      <c r="I76" s="101"/>
      <c r="J76" s="101"/>
      <c r="K76" s="127"/>
      <c r="L76" s="128"/>
      <c r="M76" s="129"/>
      <c r="N76" s="1073"/>
      <c r="O76" s="1073"/>
      <c r="P76" s="1074"/>
      <c r="Q76" s="1075"/>
    </row>
    <row r="77" spans="1:17" s="1076" customFormat="1" ht="14.4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7"/>
      <c r="O77" s="1077"/>
      <c r="P77" s="1078"/>
      <c r="Q77" s="1075"/>
    </row>
    <row r="78" spans="1:17" s="1076" customFormat="1" ht="15" hidden="1" thickTop="1">
      <c r="A78" s="102"/>
      <c r="B78" s="106" t="s">
        <v>143</v>
      </c>
      <c r="C78" s="130" t="s">
        <v>118</v>
      </c>
      <c r="D78" s="130" t="s">
        <v>119</v>
      </c>
      <c r="E78" s="130" t="s">
        <v>120</v>
      </c>
      <c r="F78" s="130" t="s">
        <v>121</v>
      </c>
      <c r="G78" s="130" t="s">
        <v>122</v>
      </c>
      <c r="H78" s="107"/>
      <c r="I78" s="107"/>
      <c r="J78" s="107"/>
      <c r="K78" s="108"/>
      <c r="L78" s="109"/>
      <c r="M78" s="110"/>
      <c r="N78" s="1073"/>
      <c r="O78" s="1073"/>
      <c r="P78" s="1078"/>
      <c r="Q78" s="1075"/>
    </row>
    <row r="79" spans="1:17" s="1076" customFormat="1" ht="14.4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7"/>
      <c r="O79" s="1077"/>
      <c r="P79" s="1078"/>
      <c r="Q79" s="1075"/>
    </row>
    <row r="80" spans="1:17" s="1076" customFormat="1" ht="15" hidden="1" thickTop="1">
      <c r="A80" s="102"/>
      <c r="B80" s="106" t="s">
        <v>129</v>
      </c>
      <c r="C80" s="130" t="s">
        <v>118</v>
      </c>
      <c r="D80" s="130" t="s">
        <v>119</v>
      </c>
      <c r="E80" s="130" t="s">
        <v>120</v>
      </c>
      <c r="F80" s="130" t="s">
        <v>121</v>
      </c>
      <c r="G80" s="130" t="s">
        <v>122</v>
      </c>
      <c r="H80" s="107"/>
      <c r="I80" s="107"/>
      <c r="J80" s="107"/>
      <c r="K80" s="108"/>
      <c r="L80" s="109"/>
      <c r="M80" s="110"/>
      <c r="N80" s="1073"/>
      <c r="O80" s="1073"/>
      <c r="P80" s="1078"/>
      <c r="Q80" s="1075"/>
    </row>
    <row r="81" spans="1:17" s="1076" customFormat="1" ht="14.4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7"/>
      <c r="O81" s="1077"/>
      <c r="P81" s="1078"/>
      <c r="Q81" s="1075"/>
    </row>
    <row r="82" spans="1:17" s="1076" customFormat="1" ht="15" hidden="1" thickTop="1">
      <c r="A82" s="102"/>
      <c r="B82" s="106" t="s">
        <v>123</v>
      </c>
      <c r="C82" s="130" t="s">
        <v>118</v>
      </c>
      <c r="D82" s="130" t="s">
        <v>119</v>
      </c>
      <c r="E82" s="130" t="s">
        <v>120</v>
      </c>
      <c r="F82" s="130" t="s">
        <v>121</v>
      </c>
      <c r="G82" s="130" t="s">
        <v>122</v>
      </c>
      <c r="H82" s="107"/>
      <c r="I82" s="107"/>
      <c r="J82" s="107"/>
      <c r="K82" s="108"/>
      <c r="L82" s="109"/>
      <c r="M82" s="110"/>
      <c r="N82" s="1073"/>
      <c r="O82" s="1073"/>
      <c r="P82" s="1078"/>
      <c r="Q82" s="1075"/>
    </row>
    <row r="83" spans="1:17" s="1076" customFormat="1" ht="14.4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7"/>
      <c r="O83" s="1077"/>
      <c r="P83" s="1078"/>
      <c r="Q83" s="1075"/>
    </row>
    <row r="84" spans="1:17" s="1079" customFormat="1" ht="29.4" hidden="1" thickTop="1">
      <c r="A84" s="131"/>
      <c r="B84" s="106" t="s">
        <v>144</v>
      </c>
      <c r="C84" s="130" t="s">
        <v>118</v>
      </c>
      <c r="D84" s="130" t="s">
        <v>119</v>
      </c>
      <c r="E84" s="130" t="s">
        <v>120</v>
      </c>
      <c r="F84" s="130" t="s">
        <v>121</v>
      </c>
      <c r="G84" s="130" t="s">
        <v>122</v>
      </c>
      <c r="H84" s="130"/>
      <c r="I84" s="130"/>
      <c r="J84" s="130"/>
      <c r="K84" s="130"/>
      <c r="L84" s="165"/>
      <c r="M84" s="144"/>
      <c r="N84" s="14"/>
      <c r="O84" s="14"/>
      <c r="P84" s="1078"/>
      <c r="Q84" s="1075"/>
    </row>
    <row r="85" spans="1:17" s="1079" customFormat="1" ht="14.4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7"/>
      <c r="O85" s="1077"/>
      <c r="P85" s="1078"/>
      <c r="Q85" s="1075"/>
    </row>
    <row r="86" spans="1:17" s="1079" customFormat="1" ht="29.4" hidden="1" thickTop="1">
      <c r="A86" s="131"/>
      <c r="B86" s="106" t="s">
        <v>145</v>
      </c>
      <c r="C86" s="126" t="s">
        <v>118</v>
      </c>
      <c r="D86" s="126" t="s">
        <v>119</v>
      </c>
      <c r="E86" s="126" t="s">
        <v>120</v>
      </c>
      <c r="F86" s="126" t="s">
        <v>121</v>
      </c>
      <c r="G86" s="126" t="s">
        <v>122</v>
      </c>
      <c r="H86" s="130"/>
      <c r="I86" s="130"/>
      <c r="J86" s="130"/>
      <c r="K86" s="130"/>
      <c r="L86" s="130"/>
      <c r="M86" s="144"/>
      <c r="N86" s="14"/>
      <c r="O86" s="14"/>
      <c r="P86" s="1078"/>
      <c r="Q86" s="1075"/>
    </row>
    <row r="87" spans="1:17" s="1079" customFormat="1" ht="14.4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7"/>
      <c r="O87" s="1077"/>
      <c r="P87" s="1078"/>
      <c r="Q87" s="1075"/>
    </row>
    <row r="88" spans="1:17" s="1083" customFormat="1" ht="15" hidden="1" thickTop="1">
      <c r="A88" s="121"/>
      <c r="B88" s="156" t="s">
        <v>1197</v>
      </c>
      <c r="C88" s="126" t="s">
        <v>118</v>
      </c>
      <c r="D88" s="126" t="s">
        <v>119</v>
      </c>
      <c r="E88" s="126" t="s">
        <v>120</v>
      </c>
      <c r="F88" s="126" t="s">
        <v>121</v>
      </c>
      <c r="G88" s="126" t="s">
        <v>122</v>
      </c>
      <c r="H88" s="135"/>
      <c r="I88" s="135"/>
      <c r="J88" s="135"/>
      <c r="K88" s="135"/>
      <c r="L88" s="136"/>
      <c r="M88" s="137"/>
      <c r="N88" s="1080"/>
      <c r="O88" s="1080"/>
      <c r="P88" s="1081"/>
      <c r="Q88" s="1082"/>
    </row>
    <row r="89" spans="1:17" s="1083" customFormat="1" ht="1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0"/>
      <c r="O89" s="1080"/>
      <c r="P89" s="1081"/>
      <c r="Q89" s="1082"/>
    </row>
    <row r="90" spans="1:17" s="1083" customFormat="1" ht="15" hidden="1" thickTop="1">
      <c r="A90" s="121"/>
      <c r="B90" s="158" t="s">
        <v>1199</v>
      </c>
      <c r="C90" s="11" t="s">
        <v>1192</v>
      </c>
      <c r="D90" s="11" t="s">
        <v>1193</v>
      </c>
      <c r="E90" s="11" t="s">
        <v>1194</v>
      </c>
      <c r="F90" s="11" t="s">
        <v>1195</v>
      </c>
      <c r="G90" s="11" t="s">
        <v>1196</v>
      </c>
      <c r="H90" s="135"/>
      <c r="I90" s="135"/>
      <c r="J90" s="135"/>
      <c r="K90" s="135"/>
      <c r="L90" s="135"/>
      <c r="M90" s="137"/>
      <c r="N90" s="1080"/>
      <c r="O90" s="1080"/>
      <c r="P90" s="1081"/>
      <c r="Q90" s="1082"/>
    </row>
    <row r="91" spans="1:17" s="1083" customFormat="1" ht="14.4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0"/>
      <c r="O91" s="1080"/>
      <c r="P91" s="1081"/>
      <c r="Q91" s="1082"/>
    </row>
    <row r="92" spans="1:17" s="1076" customFormat="1" ht="15" hidden="1" thickTop="1">
      <c r="A92" s="102"/>
      <c r="B92" s="106" t="str">
        <f>B31</f>
        <v>临街状况</v>
      </c>
      <c r="C92" s="107" t="s">
        <v>146</v>
      </c>
      <c r="D92" s="107" t="s">
        <v>147</v>
      </c>
      <c r="E92" s="107" t="s">
        <v>148</v>
      </c>
      <c r="F92" s="107" t="s">
        <v>149</v>
      </c>
      <c r="G92" s="107"/>
      <c r="H92" s="107"/>
      <c r="I92" s="107"/>
      <c r="J92" s="107"/>
      <c r="K92" s="108"/>
      <c r="L92" s="109"/>
      <c r="M92" s="110"/>
      <c r="N92" s="1073"/>
      <c r="O92" s="1073"/>
      <c r="P92" s="1078"/>
      <c r="Q92" s="1075"/>
    </row>
    <row r="93" spans="1:17" s="1076" customFormat="1" ht="14.4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7"/>
      <c r="O93" s="1077"/>
      <c r="P93" s="1078"/>
      <c r="Q93" s="1075"/>
    </row>
    <row r="94" spans="1:17" s="1076" customFormat="1" ht="29.4" hidden="1" thickTop="1">
      <c r="A94" s="102"/>
      <c r="B94" s="106" t="s">
        <v>128</v>
      </c>
      <c r="C94" s="1084" t="s">
        <v>19</v>
      </c>
      <c r="D94" s="1084" t="s">
        <v>20</v>
      </c>
      <c r="E94" s="1084" t="s">
        <v>22</v>
      </c>
      <c r="F94" s="1084" t="s">
        <v>23</v>
      </c>
      <c r="G94" s="1084" t="s">
        <v>24</v>
      </c>
      <c r="H94" s="1085"/>
      <c r="I94" s="1085"/>
      <c r="J94" s="1085"/>
      <c r="K94" s="1086"/>
      <c r="L94" s="1087"/>
      <c r="M94" s="1088"/>
      <c r="N94" s="1073"/>
      <c r="O94" s="1073"/>
      <c r="P94" s="1078"/>
      <c r="Q94" s="1075"/>
    </row>
    <row r="95" spans="1:17" s="1076" customFormat="1" ht="14.4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7"/>
      <c r="O95" s="1077"/>
      <c r="P95" s="1078"/>
      <c r="Q95" s="1075"/>
    </row>
    <row r="96" spans="1:17" s="1076" customFormat="1" ht="15" hidden="1" thickTop="1">
      <c r="A96" s="102"/>
      <c r="B96" s="106">
        <v>111</v>
      </c>
      <c r="C96" s="1085">
        <v>111</v>
      </c>
      <c r="D96" s="1085">
        <v>222</v>
      </c>
      <c r="E96" s="1085">
        <v>333</v>
      </c>
      <c r="F96" s="1085"/>
      <c r="G96" s="1085"/>
      <c r="H96" s="1085"/>
      <c r="I96" s="1085"/>
      <c r="J96" s="1085"/>
      <c r="K96" s="1086"/>
      <c r="L96" s="1087"/>
      <c r="M96" s="1088"/>
      <c r="N96" s="1073"/>
      <c r="O96" s="1073"/>
      <c r="P96" s="1078"/>
      <c r="Q96" s="1075"/>
    </row>
    <row r="97" spans="1:17" s="1076" customFormat="1" ht="14.4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7"/>
      <c r="O97" s="1077"/>
      <c r="P97" s="1078"/>
      <c r="Q97" s="1075"/>
    </row>
    <row r="98" spans="1:17" s="1076" customFormat="1" ht="15" hidden="1" thickTop="1">
      <c r="A98" s="102"/>
      <c r="B98" s="114">
        <f>B35</f>
        <v>111</v>
      </c>
      <c r="C98" s="1084">
        <v>111</v>
      </c>
      <c r="D98" s="1084">
        <v>222</v>
      </c>
      <c r="E98" s="1084">
        <v>333</v>
      </c>
      <c r="F98" s="1084">
        <v>444</v>
      </c>
      <c r="G98" s="1089"/>
      <c r="H98" s="1089"/>
      <c r="I98" s="1089"/>
      <c r="J98" s="1089"/>
      <c r="K98" s="1090"/>
      <c r="L98" s="1091"/>
      <c r="M98" s="1092"/>
      <c r="N98" s="1073"/>
      <c r="O98" s="1073"/>
      <c r="P98" s="1078"/>
      <c r="Q98" s="1075"/>
    </row>
    <row r="99" spans="1:17" s="1076" customFormat="1" ht="14.4" hidden="1" thickBot="1">
      <c r="A99" s="102"/>
      <c r="B99" s="125"/>
      <c r="C99" s="1093">
        <v>100</v>
      </c>
      <c r="D99" s="1093">
        <v>99</v>
      </c>
      <c r="E99" s="1093">
        <v>98</v>
      </c>
      <c r="F99" s="1093">
        <v>97</v>
      </c>
      <c r="G99" s="1094"/>
      <c r="H99" s="1094"/>
      <c r="I99" s="1094"/>
      <c r="J99" s="1094"/>
      <c r="K99" s="1094"/>
      <c r="L99" s="1094"/>
      <c r="M99" s="1095"/>
      <c r="N99" s="1077"/>
      <c r="O99" s="1077"/>
      <c r="P99" s="1078"/>
      <c r="Q99" s="1075"/>
    </row>
    <row r="100" spans="1:17" s="1076" customFormat="1" ht="15" hidden="1" thickTop="1">
      <c r="A100" s="162"/>
      <c r="B100" s="106">
        <f>B36</f>
        <v>111</v>
      </c>
      <c r="C100" s="1096">
        <v>111</v>
      </c>
      <c r="D100" s="1096">
        <v>222</v>
      </c>
      <c r="E100" s="1096">
        <v>333</v>
      </c>
      <c r="F100" s="1096">
        <v>444</v>
      </c>
      <c r="G100" s="1085"/>
      <c r="H100" s="1085"/>
      <c r="I100" s="1085"/>
      <c r="J100" s="1085"/>
      <c r="K100" s="1086"/>
      <c r="L100" s="1087"/>
      <c r="M100" s="1088"/>
      <c r="N100" s="1073"/>
      <c r="O100" s="1073"/>
      <c r="P100" s="1078"/>
      <c r="Q100" s="1075"/>
    </row>
    <row r="101" spans="1:17" s="1076" customFormat="1" hidden="1">
      <c r="A101" s="102"/>
      <c r="B101" s="114"/>
      <c r="C101" s="1098">
        <v>100</v>
      </c>
      <c r="D101" s="1098">
        <v>98</v>
      </c>
      <c r="E101" s="1098">
        <v>96</v>
      </c>
      <c r="F101" s="1098">
        <v>94</v>
      </c>
      <c r="G101" s="1099"/>
      <c r="H101" s="1099"/>
      <c r="I101" s="1099"/>
      <c r="J101" s="1099"/>
      <c r="K101" s="1099"/>
      <c r="L101" s="1099"/>
      <c r="M101" s="1100"/>
      <c r="N101" s="1077"/>
      <c r="O101" s="1077"/>
      <c r="P101" s="1078"/>
      <c r="Q101" s="1075"/>
    </row>
    <row r="102" spans="1:17" s="65" customFormat="1" ht="15" thickTop="1">
      <c r="A102" s="1117" t="str">
        <f>A37</f>
        <v>区位状况</v>
      </c>
      <c r="B102" s="1118"/>
      <c r="C102" s="1115" t="s">
        <v>1547</v>
      </c>
      <c r="D102" s="1115" t="s">
        <v>1548</v>
      </c>
      <c r="E102" s="1115" t="s">
        <v>1549</v>
      </c>
      <c r="F102" s="1115" t="s">
        <v>1550</v>
      </c>
      <c r="G102" s="1115" t="s">
        <v>1551</v>
      </c>
      <c r="H102" s="1101"/>
      <c r="I102" s="1101"/>
      <c r="J102" s="1102"/>
      <c r="K102" s="1102"/>
      <c r="L102" s="1103"/>
      <c r="M102" s="1104"/>
      <c r="N102" s="474"/>
      <c r="O102" s="474"/>
      <c r="P102" s="122"/>
      <c r="Q102" s="123"/>
    </row>
    <row r="103" spans="1:17" s="65" customFormat="1" ht="15" thickBot="1">
      <c r="A103" s="1119"/>
      <c r="B103" s="125"/>
      <c r="C103" s="1116">
        <v>100</v>
      </c>
      <c r="D103" s="1023">
        <f>C103-$K37</f>
        <v>100</v>
      </c>
      <c r="E103" s="1023">
        <f>D103-$K37</f>
        <v>100</v>
      </c>
      <c r="F103" s="1023">
        <f>E103-$K37</f>
        <v>100</v>
      </c>
      <c r="G103" s="1023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6" customFormat="1" ht="28.8" hidden="1" thickTop="1" thickBot="1">
      <c r="A104" s="1106" t="s">
        <v>1546</v>
      </c>
      <c r="B104" s="114" t="s">
        <v>150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8" t="str">
        <f t="shared" si="23"/>
        <v>100000(含)-150000</v>
      </c>
      <c r="I104" s="1488" t="str">
        <f t="shared" si="23"/>
        <v>150000(含)-200000</v>
      </c>
      <c r="J104" s="1488" t="str">
        <f t="shared" si="23"/>
        <v>200000(含)-300000</v>
      </c>
      <c r="K104" s="1489" t="str">
        <f t="shared" si="23"/>
        <v>300000(含)-500000</v>
      </c>
      <c r="L104" s="1490" t="str">
        <f t="shared" si="23"/>
        <v>500000(含)-</v>
      </c>
      <c r="M104" s="1491" t="str">
        <f>M105&amp;"(含)"&amp;"-"&amp;P105</f>
        <v>(含)-</v>
      </c>
      <c r="N104" s="1073"/>
      <c r="O104" s="1073"/>
      <c r="P104" s="1078"/>
      <c r="Q104" s="1075"/>
    </row>
    <row r="105" spans="1:17" s="1076" customFormat="1" ht="15" hidden="1" thickBot="1">
      <c r="A105" s="1106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2">
        <v>100000</v>
      </c>
      <c r="I105" s="1492">
        <v>150000</v>
      </c>
      <c r="J105" s="1493">
        <v>200000</v>
      </c>
      <c r="K105" s="1493">
        <v>300000</v>
      </c>
      <c r="L105" s="1494">
        <v>500000</v>
      </c>
      <c r="M105" s="1495"/>
      <c r="N105" s="1073"/>
      <c r="O105" s="1073"/>
      <c r="P105" s="1078"/>
      <c r="Q105" s="1075"/>
    </row>
    <row r="106" spans="1:17" s="1076" customFormat="1" ht="15" hidden="1" thickBot="1">
      <c r="A106" s="1106"/>
      <c r="B106" s="111"/>
      <c r="C106" s="1110">
        <v>100</v>
      </c>
      <c r="D106" s="1023">
        <v>101</v>
      </c>
      <c r="E106" s="1023">
        <v>102</v>
      </c>
      <c r="F106" s="1023">
        <v>103</v>
      </c>
      <c r="G106" s="1023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7"/>
      <c r="O106" s="1077"/>
      <c r="P106" s="1078"/>
      <c r="Q106" s="1075"/>
    </row>
    <row r="107" spans="1:17" s="1076" customFormat="1" ht="15.6" hidden="1" thickTop="1" thickBot="1">
      <c r="A107" s="1107"/>
      <c r="B107" s="106" t="s">
        <v>151</v>
      </c>
      <c r="C107" s="1111" t="s">
        <v>231</v>
      </c>
      <c r="D107" s="1111" t="s">
        <v>232</v>
      </c>
      <c r="E107" s="1111" t="s">
        <v>233</v>
      </c>
      <c r="F107" s="1111" t="s">
        <v>234</v>
      </c>
      <c r="G107" s="1111"/>
      <c r="H107" s="1496"/>
      <c r="I107" s="1496"/>
      <c r="J107" s="1496"/>
      <c r="K107" s="1497"/>
      <c r="L107" s="1498"/>
      <c r="M107" s="1499"/>
      <c r="N107" s="1073"/>
      <c r="O107" s="1073"/>
      <c r="P107" s="1078"/>
      <c r="Q107" s="1075"/>
    </row>
    <row r="108" spans="1:17" s="1076" customFormat="1" ht="15" hidden="1" thickBot="1">
      <c r="A108" s="1106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0">
        <f t="shared" si="24"/>
        <v>100</v>
      </c>
      <c r="N108" s="1077"/>
      <c r="O108" s="1077"/>
      <c r="P108" s="1078"/>
      <c r="Q108" s="1075"/>
    </row>
    <row r="109" spans="1:17" s="1076" customFormat="1" ht="15.6" hidden="1" thickTop="1" thickBot="1">
      <c r="A109" s="1107"/>
      <c r="B109" s="106" t="s">
        <v>152</v>
      </c>
      <c r="C109" s="1112" t="s">
        <v>235</v>
      </c>
      <c r="D109" s="1112" t="s">
        <v>236</v>
      </c>
      <c r="E109" s="1112" t="s">
        <v>237</v>
      </c>
      <c r="F109" s="1111"/>
      <c r="G109" s="1111"/>
      <c r="H109" s="1496"/>
      <c r="I109" s="1496"/>
      <c r="J109" s="1496"/>
      <c r="K109" s="1497"/>
      <c r="L109" s="1498"/>
      <c r="M109" s="1499"/>
      <c r="N109" s="1073"/>
      <c r="O109" s="1073"/>
      <c r="P109" s="1078"/>
      <c r="Q109" s="1075"/>
    </row>
    <row r="110" spans="1:17" s="1076" customFormat="1" ht="15" hidden="1" thickBot="1">
      <c r="A110" s="1106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0">
        <f t="shared" si="25"/>
        <v>100</v>
      </c>
      <c r="N110" s="1077"/>
      <c r="O110" s="1077"/>
      <c r="P110" s="1078"/>
      <c r="Q110" s="1075"/>
    </row>
    <row r="111" spans="1:17" s="1083" customFormat="1" ht="15.6" hidden="1" thickTop="1" thickBot="1">
      <c r="A111" s="1108"/>
      <c r="B111" s="106" t="s">
        <v>153</v>
      </c>
      <c r="C111" s="1112" t="s">
        <v>238</v>
      </c>
      <c r="D111" s="1112" t="s">
        <v>239</v>
      </c>
      <c r="E111" s="1112" t="s">
        <v>240</v>
      </c>
      <c r="F111" s="1112" t="s">
        <v>241</v>
      </c>
      <c r="G111" s="1112" t="s">
        <v>242</v>
      </c>
      <c r="H111" s="1496"/>
      <c r="I111" s="1496"/>
      <c r="J111" s="1496"/>
      <c r="K111" s="1497"/>
      <c r="L111" s="1498"/>
      <c r="M111" s="1499"/>
      <c r="N111" s="1080"/>
      <c r="O111" s="1080"/>
      <c r="P111" s="1081"/>
      <c r="Q111" s="1082"/>
    </row>
    <row r="112" spans="1:17" s="1083" customFormat="1" ht="15" hidden="1" thickBot="1">
      <c r="A112" s="1105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0">
        <f t="shared" si="26"/>
        <v>100</v>
      </c>
      <c r="N112" s="1080"/>
      <c r="O112" s="1080"/>
      <c r="P112" s="1081"/>
      <c r="Q112" s="1082"/>
    </row>
    <row r="113" spans="1:17" s="1076" customFormat="1" ht="15.6" hidden="1" thickTop="1" thickBot="1">
      <c r="A113" s="1107"/>
      <c r="B113" s="106" t="s">
        <v>154</v>
      </c>
      <c r="C113" s="1112" t="s">
        <v>243</v>
      </c>
      <c r="D113" s="1112" t="s">
        <v>244</v>
      </c>
      <c r="E113" s="1111" t="s">
        <v>245</v>
      </c>
      <c r="F113" s="1111" t="s">
        <v>246</v>
      </c>
      <c r="G113" s="1111" t="s">
        <v>247</v>
      </c>
      <c r="H113" s="1496"/>
      <c r="I113" s="1496"/>
      <c r="J113" s="1496"/>
      <c r="K113" s="1497"/>
      <c r="L113" s="1498"/>
      <c r="M113" s="1499"/>
      <c r="N113" s="1073"/>
      <c r="O113" s="1073"/>
      <c r="P113" s="1078"/>
      <c r="Q113" s="1075"/>
    </row>
    <row r="114" spans="1:17" s="1076" customFormat="1" ht="15" hidden="1" thickBot="1">
      <c r="A114" s="1106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0">
        <f t="shared" si="27"/>
        <v>100</v>
      </c>
      <c r="N114" s="1077"/>
      <c r="O114" s="1077"/>
      <c r="P114" s="1078"/>
      <c r="Q114" s="1075"/>
    </row>
    <row r="115" spans="1:17" s="1076" customFormat="1" ht="15.6" hidden="1" thickTop="1" thickBot="1">
      <c r="A115" s="1107"/>
      <c r="B115" s="106">
        <f>B43</f>
        <v>111</v>
      </c>
      <c r="C115" s="1112">
        <v>111</v>
      </c>
      <c r="D115" s="1112">
        <v>222</v>
      </c>
      <c r="E115" s="1112">
        <v>333</v>
      </c>
      <c r="F115" s="1112">
        <v>444</v>
      </c>
      <c r="G115" s="1112"/>
      <c r="H115" s="1496"/>
      <c r="I115" s="1496"/>
      <c r="J115" s="1496"/>
      <c r="K115" s="1497"/>
      <c r="L115" s="1498"/>
      <c r="M115" s="1499"/>
      <c r="N115" s="1073"/>
      <c r="O115" s="1073"/>
      <c r="P115" s="1078"/>
      <c r="Q115" s="1075"/>
    </row>
    <row r="116" spans="1:17" s="1076" customFormat="1" ht="15" hidden="1" thickBot="1">
      <c r="A116" s="1106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7"/>
      <c r="O116" s="1077"/>
      <c r="P116" s="1078"/>
      <c r="Q116" s="1075"/>
    </row>
    <row r="117" spans="1:17" s="1076" customFormat="1" ht="15.6" hidden="1" thickTop="1" thickBot="1">
      <c r="A117" s="1107"/>
      <c r="B117" s="106">
        <f>B44</f>
        <v>111</v>
      </c>
      <c r="C117" s="1113">
        <v>111</v>
      </c>
      <c r="D117" s="1113">
        <v>222</v>
      </c>
      <c r="E117" s="1113">
        <v>333</v>
      </c>
      <c r="F117" s="1113">
        <v>444</v>
      </c>
      <c r="G117" s="1111"/>
      <c r="H117" s="1496"/>
      <c r="I117" s="1496"/>
      <c r="J117" s="1496"/>
      <c r="K117" s="1497"/>
      <c r="L117" s="1498"/>
      <c r="M117" s="1499"/>
      <c r="N117" s="1073"/>
      <c r="O117" s="1073"/>
      <c r="P117" s="1078"/>
      <c r="Q117" s="1075"/>
    </row>
    <row r="118" spans="1:17" s="1076" customFormat="1" ht="15" hidden="1" thickBot="1">
      <c r="A118" s="1106"/>
      <c r="B118" s="114"/>
      <c r="C118" s="1114">
        <v>100</v>
      </c>
      <c r="D118" s="1114">
        <v>98</v>
      </c>
      <c r="E118" s="1114">
        <v>96</v>
      </c>
      <c r="F118" s="1114">
        <v>94</v>
      </c>
      <c r="G118" s="237"/>
      <c r="H118" s="1501"/>
      <c r="I118" s="1501"/>
      <c r="J118" s="1501"/>
      <c r="K118" s="1501"/>
      <c r="L118" s="1501"/>
      <c r="M118" s="1502"/>
      <c r="N118" s="1077"/>
      <c r="O118" s="1077"/>
      <c r="P118" s="1078"/>
      <c r="Q118" s="1075"/>
    </row>
    <row r="119" spans="1:17" s="65" customFormat="1" ht="14.4">
      <c r="A119" s="1109" t="str">
        <f>A45</f>
        <v>实物状况</v>
      </c>
      <c r="B119" s="100"/>
      <c r="C119" s="1115" t="s">
        <v>1547</v>
      </c>
      <c r="D119" s="1115" t="s">
        <v>1548</v>
      </c>
      <c r="E119" s="1115" t="s">
        <v>1549</v>
      </c>
      <c r="F119" s="1115" t="s">
        <v>1550</v>
      </c>
      <c r="G119" s="1115" t="s">
        <v>1551</v>
      </c>
      <c r="H119" s="1102"/>
      <c r="I119" s="1102"/>
      <c r="J119" s="1102"/>
      <c r="K119" s="1102"/>
      <c r="L119" s="1103"/>
      <c r="M119" s="1104"/>
      <c r="N119" s="474"/>
      <c r="O119" s="474"/>
      <c r="P119" s="122"/>
      <c r="Q119" s="123"/>
    </row>
    <row r="120" spans="1:17" s="65" customFormat="1" ht="14.4" thickBot="1">
      <c r="A120" s="124"/>
      <c r="B120" s="166"/>
      <c r="C120" s="1116">
        <v>100</v>
      </c>
      <c r="D120" s="1023">
        <f>C120-$K45</f>
        <v>100</v>
      </c>
      <c r="E120" s="1023">
        <f>D120-$K45</f>
        <v>100</v>
      </c>
      <c r="F120" s="1023">
        <f>E120-$K45</f>
        <v>100</v>
      </c>
      <c r="G120" s="1023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8671875" style="972" customWidth="1"/>
    <col min="2" max="2" width="18.44140625" style="973" customWidth="1"/>
    <col min="3" max="3" width="15.6640625" style="973" customWidth="1"/>
    <col min="4" max="4" width="9.33203125" style="973" bestFit="1" customWidth="1"/>
    <col min="5" max="6" width="9" style="973"/>
    <col min="7" max="7" width="9.33203125" style="973" bestFit="1" customWidth="1"/>
    <col min="8" max="9" width="9" style="973"/>
    <col min="10" max="10" width="9.33203125" style="973" bestFit="1" customWidth="1"/>
    <col min="11" max="11" width="4" style="972" customWidth="1"/>
    <col min="12" max="12" width="5.109375" style="973" customWidth="1"/>
    <col min="13" max="13" width="13.77734375" style="973" customWidth="1"/>
    <col min="14" max="256" width="9" style="973"/>
    <col min="257" max="257" width="4.88671875" style="973" customWidth="1"/>
    <col min="258" max="258" width="11.77734375" style="973" customWidth="1"/>
    <col min="259" max="259" width="17.77734375" style="973" customWidth="1"/>
    <col min="260" max="260" width="9.33203125" style="973" bestFit="1" customWidth="1"/>
    <col min="261" max="262" width="9" style="973"/>
    <col min="263" max="263" width="9.33203125" style="973" bestFit="1" customWidth="1"/>
    <col min="264" max="266" width="9" style="973"/>
    <col min="267" max="267" width="2.6640625" style="973" customWidth="1"/>
    <col min="268" max="268" width="5.109375" style="973" customWidth="1"/>
    <col min="269" max="269" width="13.77734375" style="973" customWidth="1"/>
    <col min="270" max="512" width="9" style="973"/>
    <col min="513" max="513" width="4.88671875" style="973" customWidth="1"/>
    <col min="514" max="514" width="11.77734375" style="973" customWidth="1"/>
    <col min="515" max="515" width="17.77734375" style="973" customWidth="1"/>
    <col min="516" max="516" width="9.33203125" style="973" bestFit="1" customWidth="1"/>
    <col min="517" max="518" width="9" style="973"/>
    <col min="519" max="519" width="9.33203125" style="973" bestFit="1" customWidth="1"/>
    <col min="520" max="522" width="9" style="973"/>
    <col min="523" max="523" width="2.6640625" style="973" customWidth="1"/>
    <col min="524" max="524" width="5.109375" style="973" customWidth="1"/>
    <col min="525" max="525" width="13.77734375" style="973" customWidth="1"/>
    <col min="526" max="768" width="9" style="973"/>
    <col min="769" max="769" width="4.88671875" style="973" customWidth="1"/>
    <col min="770" max="770" width="11.77734375" style="973" customWidth="1"/>
    <col min="771" max="771" width="17.77734375" style="973" customWidth="1"/>
    <col min="772" max="772" width="9.33203125" style="973" bestFit="1" customWidth="1"/>
    <col min="773" max="774" width="9" style="973"/>
    <col min="775" max="775" width="9.33203125" style="973" bestFit="1" customWidth="1"/>
    <col min="776" max="778" width="9" style="973"/>
    <col min="779" max="779" width="2.6640625" style="973" customWidth="1"/>
    <col min="780" max="780" width="5.109375" style="973" customWidth="1"/>
    <col min="781" max="781" width="13.77734375" style="973" customWidth="1"/>
    <col min="782" max="1024" width="9" style="973"/>
    <col min="1025" max="1025" width="4.88671875" style="973" customWidth="1"/>
    <col min="1026" max="1026" width="11.77734375" style="973" customWidth="1"/>
    <col min="1027" max="1027" width="17.77734375" style="973" customWidth="1"/>
    <col min="1028" max="1028" width="9.33203125" style="973" bestFit="1" customWidth="1"/>
    <col min="1029" max="1030" width="9" style="973"/>
    <col min="1031" max="1031" width="9.33203125" style="973" bestFit="1" customWidth="1"/>
    <col min="1032" max="1034" width="9" style="973"/>
    <col min="1035" max="1035" width="2.6640625" style="973" customWidth="1"/>
    <col min="1036" max="1036" width="5.109375" style="973" customWidth="1"/>
    <col min="1037" max="1037" width="13.77734375" style="973" customWidth="1"/>
    <col min="1038" max="1280" width="9" style="973"/>
    <col min="1281" max="1281" width="4.88671875" style="973" customWidth="1"/>
    <col min="1282" max="1282" width="11.77734375" style="973" customWidth="1"/>
    <col min="1283" max="1283" width="17.77734375" style="973" customWidth="1"/>
    <col min="1284" max="1284" width="9.33203125" style="973" bestFit="1" customWidth="1"/>
    <col min="1285" max="1286" width="9" style="973"/>
    <col min="1287" max="1287" width="9.33203125" style="973" bestFit="1" customWidth="1"/>
    <col min="1288" max="1290" width="9" style="973"/>
    <col min="1291" max="1291" width="2.6640625" style="973" customWidth="1"/>
    <col min="1292" max="1292" width="5.109375" style="973" customWidth="1"/>
    <col min="1293" max="1293" width="13.77734375" style="973" customWidth="1"/>
    <col min="1294" max="1536" width="9" style="973"/>
    <col min="1537" max="1537" width="4.88671875" style="973" customWidth="1"/>
    <col min="1538" max="1538" width="11.77734375" style="973" customWidth="1"/>
    <col min="1539" max="1539" width="17.77734375" style="973" customWidth="1"/>
    <col min="1540" max="1540" width="9.33203125" style="973" bestFit="1" customWidth="1"/>
    <col min="1541" max="1542" width="9" style="973"/>
    <col min="1543" max="1543" width="9.33203125" style="973" bestFit="1" customWidth="1"/>
    <col min="1544" max="1546" width="9" style="973"/>
    <col min="1547" max="1547" width="2.6640625" style="973" customWidth="1"/>
    <col min="1548" max="1548" width="5.109375" style="973" customWidth="1"/>
    <col min="1549" max="1549" width="13.77734375" style="973" customWidth="1"/>
    <col min="1550" max="1792" width="9" style="973"/>
    <col min="1793" max="1793" width="4.88671875" style="973" customWidth="1"/>
    <col min="1794" max="1794" width="11.77734375" style="973" customWidth="1"/>
    <col min="1795" max="1795" width="17.77734375" style="973" customWidth="1"/>
    <col min="1796" max="1796" width="9.33203125" style="973" bestFit="1" customWidth="1"/>
    <col min="1797" max="1798" width="9" style="973"/>
    <col min="1799" max="1799" width="9.33203125" style="973" bestFit="1" customWidth="1"/>
    <col min="1800" max="1802" width="9" style="973"/>
    <col min="1803" max="1803" width="2.6640625" style="973" customWidth="1"/>
    <col min="1804" max="1804" width="5.109375" style="973" customWidth="1"/>
    <col min="1805" max="1805" width="13.77734375" style="973" customWidth="1"/>
    <col min="1806" max="2048" width="9" style="973"/>
    <col min="2049" max="2049" width="4.88671875" style="973" customWidth="1"/>
    <col min="2050" max="2050" width="11.77734375" style="973" customWidth="1"/>
    <col min="2051" max="2051" width="17.77734375" style="973" customWidth="1"/>
    <col min="2052" max="2052" width="9.33203125" style="973" bestFit="1" customWidth="1"/>
    <col min="2053" max="2054" width="9" style="973"/>
    <col min="2055" max="2055" width="9.33203125" style="973" bestFit="1" customWidth="1"/>
    <col min="2056" max="2058" width="9" style="973"/>
    <col min="2059" max="2059" width="2.6640625" style="973" customWidth="1"/>
    <col min="2060" max="2060" width="5.109375" style="973" customWidth="1"/>
    <col min="2061" max="2061" width="13.77734375" style="973" customWidth="1"/>
    <col min="2062" max="2304" width="9" style="973"/>
    <col min="2305" max="2305" width="4.88671875" style="973" customWidth="1"/>
    <col min="2306" max="2306" width="11.77734375" style="973" customWidth="1"/>
    <col min="2307" max="2307" width="17.77734375" style="973" customWidth="1"/>
    <col min="2308" max="2308" width="9.33203125" style="973" bestFit="1" customWidth="1"/>
    <col min="2309" max="2310" width="9" style="973"/>
    <col min="2311" max="2311" width="9.33203125" style="973" bestFit="1" customWidth="1"/>
    <col min="2312" max="2314" width="9" style="973"/>
    <col min="2315" max="2315" width="2.6640625" style="973" customWidth="1"/>
    <col min="2316" max="2316" width="5.109375" style="973" customWidth="1"/>
    <col min="2317" max="2317" width="13.77734375" style="973" customWidth="1"/>
    <col min="2318" max="2560" width="9" style="973"/>
    <col min="2561" max="2561" width="4.88671875" style="973" customWidth="1"/>
    <col min="2562" max="2562" width="11.77734375" style="973" customWidth="1"/>
    <col min="2563" max="2563" width="17.77734375" style="973" customWidth="1"/>
    <col min="2564" max="2564" width="9.33203125" style="973" bestFit="1" customWidth="1"/>
    <col min="2565" max="2566" width="9" style="973"/>
    <col min="2567" max="2567" width="9.33203125" style="973" bestFit="1" customWidth="1"/>
    <col min="2568" max="2570" width="9" style="973"/>
    <col min="2571" max="2571" width="2.6640625" style="973" customWidth="1"/>
    <col min="2572" max="2572" width="5.109375" style="973" customWidth="1"/>
    <col min="2573" max="2573" width="13.77734375" style="973" customWidth="1"/>
    <col min="2574" max="2816" width="9" style="973"/>
    <col min="2817" max="2817" width="4.88671875" style="973" customWidth="1"/>
    <col min="2818" max="2818" width="11.77734375" style="973" customWidth="1"/>
    <col min="2819" max="2819" width="17.77734375" style="973" customWidth="1"/>
    <col min="2820" max="2820" width="9.33203125" style="973" bestFit="1" customWidth="1"/>
    <col min="2821" max="2822" width="9" style="973"/>
    <col min="2823" max="2823" width="9.33203125" style="973" bestFit="1" customWidth="1"/>
    <col min="2824" max="2826" width="9" style="973"/>
    <col min="2827" max="2827" width="2.6640625" style="973" customWidth="1"/>
    <col min="2828" max="2828" width="5.109375" style="973" customWidth="1"/>
    <col min="2829" max="2829" width="13.77734375" style="973" customWidth="1"/>
    <col min="2830" max="3072" width="9" style="973"/>
    <col min="3073" max="3073" width="4.88671875" style="973" customWidth="1"/>
    <col min="3074" max="3074" width="11.77734375" style="973" customWidth="1"/>
    <col min="3075" max="3075" width="17.77734375" style="973" customWidth="1"/>
    <col min="3076" max="3076" width="9.33203125" style="973" bestFit="1" customWidth="1"/>
    <col min="3077" max="3078" width="9" style="973"/>
    <col min="3079" max="3079" width="9.33203125" style="973" bestFit="1" customWidth="1"/>
    <col min="3080" max="3082" width="9" style="973"/>
    <col min="3083" max="3083" width="2.6640625" style="973" customWidth="1"/>
    <col min="3084" max="3084" width="5.109375" style="973" customWidth="1"/>
    <col min="3085" max="3085" width="13.77734375" style="973" customWidth="1"/>
    <col min="3086" max="3328" width="9" style="973"/>
    <col min="3329" max="3329" width="4.88671875" style="973" customWidth="1"/>
    <col min="3330" max="3330" width="11.77734375" style="973" customWidth="1"/>
    <col min="3331" max="3331" width="17.77734375" style="973" customWidth="1"/>
    <col min="3332" max="3332" width="9.33203125" style="973" bestFit="1" customWidth="1"/>
    <col min="3333" max="3334" width="9" style="973"/>
    <col min="3335" max="3335" width="9.33203125" style="973" bestFit="1" customWidth="1"/>
    <col min="3336" max="3338" width="9" style="973"/>
    <col min="3339" max="3339" width="2.6640625" style="973" customWidth="1"/>
    <col min="3340" max="3340" width="5.109375" style="973" customWidth="1"/>
    <col min="3341" max="3341" width="13.77734375" style="973" customWidth="1"/>
    <col min="3342" max="3584" width="9" style="973"/>
    <col min="3585" max="3585" width="4.88671875" style="973" customWidth="1"/>
    <col min="3586" max="3586" width="11.77734375" style="973" customWidth="1"/>
    <col min="3587" max="3587" width="17.77734375" style="973" customWidth="1"/>
    <col min="3588" max="3588" width="9.33203125" style="973" bestFit="1" customWidth="1"/>
    <col min="3589" max="3590" width="9" style="973"/>
    <col min="3591" max="3591" width="9.33203125" style="973" bestFit="1" customWidth="1"/>
    <col min="3592" max="3594" width="9" style="973"/>
    <col min="3595" max="3595" width="2.6640625" style="973" customWidth="1"/>
    <col min="3596" max="3596" width="5.109375" style="973" customWidth="1"/>
    <col min="3597" max="3597" width="13.77734375" style="973" customWidth="1"/>
    <col min="3598" max="3840" width="9" style="973"/>
    <col min="3841" max="3841" width="4.88671875" style="973" customWidth="1"/>
    <col min="3842" max="3842" width="11.77734375" style="973" customWidth="1"/>
    <col min="3843" max="3843" width="17.77734375" style="973" customWidth="1"/>
    <col min="3844" max="3844" width="9.33203125" style="973" bestFit="1" customWidth="1"/>
    <col min="3845" max="3846" width="9" style="973"/>
    <col min="3847" max="3847" width="9.33203125" style="973" bestFit="1" customWidth="1"/>
    <col min="3848" max="3850" width="9" style="973"/>
    <col min="3851" max="3851" width="2.6640625" style="973" customWidth="1"/>
    <col min="3852" max="3852" width="5.109375" style="973" customWidth="1"/>
    <col min="3853" max="3853" width="13.77734375" style="973" customWidth="1"/>
    <col min="3854" max="4096" width="9" style="973"/>
    <col min="4097" max="4097" width="4.88671875" style="973" customWidth="1"/>
    <col min="4098" max="4098" width="11.77734375" style="973" customWidth="1"/>
    <col min="4099" max="4099" width="17.77734375" style="973" customWidth="1"/>
    <col min="4100" max="4100" width="9.33203125" style="973" bestFit="1" customWidth="1"/>
    <col min="4101" max="4102" width="9" style="973"/>
    <col min="4103" max="4103" width="9.33203125" style="973" bestFit="1" customWidth="1"/>
    <col min="4104" max="4106" width="9" style="973"/>
    <col min="4107" max="4107" width="2.6640625" style="973" customWidth="1"/>
    <col min="4108" max="4108" width="5.109375" style="973" customWidth="1"/>
    <col min="4109" max="4109" width="13.77734375" style="973" customWidth="1"/>
    <col min="4110" max="4352" width="9" style="973"/>
    <col min="4353" max="4353" width="4.88671875" style="973" customWidth="1"/>
    <col min="4354" max="4354" width="11.77734375" style="973" customWidth="1"/>
    <col min="4355" max="4355" width="17.77734375" style="973" customWidth="1"/>
    <col min="4356" max="4356" width="9.33203125" style="973" bestFit="1" customWidth="1"/>
    <col min="4357" max="4358" width="9" style="973"/>
    <col min="4359" max="4359" width="9.33203125" style="973" bestFit="1" customWidth="1"/>
    <col min="4360" max="4362" width="9" style="973"/>
    <col min="4363" max="4363" width="2.6640625" style="973" customWidth="1"/>
    <col min="4364" max="4364" width="5.109375" style="973" customWidth="1"/>
    <col min="4365" max="4365" width="13.77734375" style="973" customWidth="1"/>
    <col min="4366" max="4608" width="9" style="973"/>
    <col min="4609" max="4609" width="4.88671875" style="973" customWidth="1"/>
    <col min="4610" max="4610" width="11.77734375" style="973" customWidth="1"/>
    <col min="4611" max="4611" width="17.77734375" style="973" customWidth="1"/>
    <col min="4612" max="4612" width="9.33203125" style="973" bestFit="1" customWidth="1"/>
    <col min="4613" max="4614" width="9" style="973"/>
    <col min="4615" max="4615" width="9.33203125" style="973" bestFit="1" customWidth="1"/>
    <col min="4616" max="4618" width="9" style="973"/>
    <col min="4619" max="4619" width="2.6640625" style="973" customWidth="1"/>
    <col min="4620" max="4620" width="5.109375" style="973" customWidth="1"/>
    <col min="4621" max="4621" width="13.77734375" style="973" customWidth="1"/>
    <col min="4622" max="4864" width="9" style="973"/>
    <col min="4865" max="4865" width="4.88671875" style="973" customWidth="1"/>
    <col min="4866" max="4866" width="11.77734375" style="973" customWidth="1"/>
    <col min="4867" max="4867" width="17.77734375" style="973" customWidth="1"/>
    <col min="4868" max="4868" width="9.33203125" style="973" bestFit="1" customWidth="1"/>
    <col min="4869" max="4870" width="9" style="973"/>
    <col min="4871" max="4871" width="9.33203125" style="973" bestFit="1" customWidth="1"/>
    <col min="4872" max="4874" width="9" style="973"/>
    <col min="4875" max="4875" width="2.6640625" style="973" customWidth="1"/>
    <col min="4876" max="4876" width="5.109375" style="973" customWidth="1"/>
    <col min="4877" max="4877" width="13.77734375" style="973" customWidth="1"/>
    <col min="4878" max="5120" width="9" style="973"/>
    <col min="5121" max="5121" width="4.88671875" style="973" customWidth="1"/>
    <col min="5122" max="5122" width="11.77734375" style="973" customWidth="1"/>
    <col min="5123" max="5123" width="17.77734375" style="973" customWidth="1"/>
    <col min="5124" max="5124" width="9.33203125" style="973" bestFit="1" customWidth="1"/>
    <col min="5125" max="5126" width="9" style="973"/>
    <col min="5127" max="5127" width="9.33203125" style="973" bestFit="1" customWidth="1"/>
    <col min="5128" max="5130" width="9" style="973"/>
    <col min="5131" max="5131" width="2.6640625" style="973" customWidth="1"/>
    <col min="5132" max="5132" width="5.109375" style="973" customWidth="1"/>
    <col min="5133" max="5133" width="13.77734375" style="973" customWidth="1"/>
    <col min="5134" max="5376" width="9" style="973"/>
    <col min="5377" max="5377" width="4.88671875" style="973" customWidth="1"/>
    <col min="5378" max="5378" width="11.77734375" style="973" customWidth="1"/>
    <col min="5379" max="5379" width="17.77734375" style="973" customWidth="1"/>
    <col min="5380" max="5380" width="9.33203125" style="973" bestFit="1" customWidth="1"/>
    <col min="5381" max="5382" width="9" style="973"/>
    <col min="5383" max="5383" width="9.33203125" style="973" bestFit="1" customWidth="1"/>
    <col min="5384" max="5386" width="9" style="973"/>
    <col min="5387" max="5387" width="2.6640625" style="973" customWidth="1"/>
    <col min="5388" max="5388" width="5.109375" style="973" customWidth="1"/>
    <col min="5389" max="5389" width="13.77734375" style="973" customWidth="1"/>
    <col min="5390" max="5632" width="9" style="973"/>
    <col min="5633" max="5633" width="4.88671875" style="973" customWidth="1"/>
    <col min="5634" max="5634" width="11.77734375" style="973" customWidth="1"/>
    <col min="5635" max="5635" width="17.77734375" style="973" customWidth="1"/>
    <col min="5636" max="5636" width="9.33203125" style="973" bestFit="1" customWidth="1"/>
    <col min="5637" max="5638" width="9" style="973"/>
    <col min="5639" max="5639" width="9.33203125" style="973" bestFit="1" customWidth="1"/>
    <col min="5640" max="5642" width="9" style="973"/>
    <col min="5643" max="5643" width="2.6640625" style="973" customWidth="1"/>
    <col min="5644" max="5644" width="5.109375" style="973" customWidth="1"/>
    <col min="5645" max="5645" width="13.77734375" style="973" customWidth="1"/>
    <col min="5646" max="5888" width="9" style="973"/>
    <col min="5889" max="5889" width="4.88671875" style="973" customWidth="1"/>
    <col min="5890" max="5890" width="11.77734375" style="973" customWidth="1"/>
    <col min="5891" max="5891" width="17.77734375" style="973" customWidth="1"/>
    <col min="5892" max="5892" width="9.33203125" style="973" bestFit="1" customWidth="1"/>
    <col min="5893" max="5894" width="9" style="973"/>
    <col min="5895" max="5895" width="9.33203125" style="973" bestFit="1" customWidth="1"/>
    <col min="5896" max="5898" width="9" style="973"/>
    <col min="5899" max="5899" width="2.6640625" style="973" customWidth="1"/>
    <col min="5900" max="5900" width="5.109375" style="973" customWidth="1"/>
    <col min="5901" max="5901" width="13.77734375" style="973" customWidth="1"/>
    <col min="5902" max="6144" width="9" style="973"/>
    <col min="6145" max="6145" width="4.88671875" style="973" customWidth="1"/>
    <col min="6146" max="6146" width="11.77734375" style="973" customWidth="1"/>
    <col min="6147" max="6147" width="17.77734375" style="973" customWidth="1"/>
    <col min="6148" max="6148" width="9.33203125" style="973" bestFit="1" customWidth="1"/>
    <col min="6149" max="6150" width="9" style="973"/>
    <col min="6151" max="6151" width="9.33203125" style="973" bestFit="1" customWidth="1"/>
    <col min="6152" max="6154" width="9" style="973"/>
    <col min="6155" max="6155" width="2.6640625" style="973" customWidth="1"/>
    <col min="6156" max="6156" width="5.109375" style="973" customWidth="1"/>
    <col min="6157" max="6157" width="13.77734375" style="973" customWidth="1"/>
    <col min="6158" max="6400" width="9" style="973"/>
    <col min="6401" max="6401" width="4.88671875" style="973" customWidth="1"/>
    <col min="6402" max="6402" width="11.77734375" style="973" customWidth="1"/>
    <col min="6403" max="6403" width="17.77734375" style="973" customWidth="1"/>
    <col min="6404" max="6404" width="9.33203125" style="973" bestFit="1" customWidth="1"/>
    <col min="6405" max="6406" width="9" style="973"/>
    <col min="6407" max="6407" width="9.33203125" style="973" bestFit="1" customWidth="1"/>
    <col min="6408" max="6410" width="9" style="973"/>
    <col min="6411" max="6411" width="2.6640625" style="973" customWidth="1"/>
    <col min="6412" max="6412" width="5.109375" style="973" customWidth="1"/>
    <col min="6413" max="6413" width="13.77734375" style="973" customWidth="1"/>
    <col min="6414" max="6656" width="9" style="973"/>
    <col min="6657" max="6657" width="4.88671875" style="973" customWidth="1"/>
    <col min="6658" max="6658" width="11.77734375" style="973" customWidth="1"/>
    <col min="6659" max="6659" width="17.77734375" style="973" customWidth="1"/>
    <col min="6660" max="6660" width="9.33203125" style="973" bestFit="1" customWidth="1"/>
    <col min="6661" max="6662" width="9" style="973"/>
    <col min="6663" max="6663" width="9.33203125" style="973" bestFit="1" customWidth="1"/>
    <col min="6664" max="6666" width="9" style="973"/>
    <col min="6667" max="6667" width="2.6640625" style="973" customWidth="1"/>
    <col min="6668" max="6668" width="5.109375" style="973" customWidth="1"/>
    <col min="6669" max="6669" width="13.77734375" style="973" customWidth="1"/>
    <col min="6670" max="6912" width="9" style="973"/>
    <col min="6913" max="6913" width="4.88671875" style="973" customWidth="1"/>
    <col min="6914" max="6914" width="11.77734375" style="973" customWidth="1"/>
    <col min="6915" max="6915" width="17.77734375" style="973" customWidth="1"/>
    <col min="6916" max="6916" width="9.33203125" style="973" bestFit="1" customWidth="1"/>
    <col min="6917" max="6918" width="9" style="973"/>
    <col min="6919" max="6919" width="9.33203125" style="973" bestFit="1" customWidth="1"/>
    <col min="6920" max="6922" width="9" style="973"/>
    <col min="6923" max="6923" width="2.6640625" style="973" customWidth="1"/>
    <col min="6924" max="6924" width="5.109375" style="973" customWidth="1"/>
    <col min="6925" max="6925" width="13.77734375" style="973" customWidth="1"/>
    <col min="6926" max="7168" width="9" style="973"/>
    <col min="7169" max="7169" width="4.88671875" style="973" customWidth="1"/>
    <col min="7170" max="7170" width="11.77734375" style="973" customWidth="1"/>
    <col min="7171" max="7171" width="17.77734375" style="973" customWidth="1"/>
    <col min="7172" max="7172" width="9.33203125" style="973" bestFit="1" customWidth="1"/>
    <col min="7173" max="7174" width="9" style="973"/>
    <col min="7175" max="7175" width="9.33203125" style="973" bestFit="1" customWidth="1"/>
    <col min="7176" max="7178" width="9" style="973"/>
    <col min="7179" max="7179" width="2.6640625" style="973" customWidth="1"/>
    <col min="7180" max="7180" width="5.109375" style="973" customWidth="1"/>
    <col min="7181" max="7181" width="13.77734375" style="973" customWidth="1"/>
    <col min="7182" max="7424" width="9" style="973"/>
    <col min="7425" max="7425" width="4.88671875" style="973" customWidth="1"/>
    <col min="7426" max="7426" width="11.77734375" style="973" customWidth="1"/>
    <col min="7427" max="7427" width="17.77734375" style="973" customWidth="1"/>
    <col min="7428" max="7428" width="9.33203125" style="973" bestFit="1" customWidth="1"/>
    <col min="7429" max="7430" width="9" style="973"/>
    <col min="7431" max="7431" width="9.33203125" style="973" bestFit="1" customWidth="1"/>
    <col min="7432" max="7434" width="9" style="973"/>
    <col min="7435" max="7435" width="2.6640625" style="973" customWidth="1"/>
    <col min="7436" max="7436" width="5.109375" style="973" customWidth="1"/>
    <col min="7437" max="7437" width="13.77734375" style="973" customWidth="1"/>
    <col min="7438" max="7680" width="9" style="973"/>
    <col min="7681" max="7681" width="4.88671875" style="973" customWidth="1"/>
    <col min="7682" max="7682" width="11.77734375" style="973" customWidth="1"/>
    <col min="7683" max="7683" width="17.77734375" style="973" customWidth="1"/>
    <col min="7684" max="7684" width="9.33203125" style="973" bestFit="1" customWidth="1"/>
    <col min="7685" max="7686" width="9" style="973"/>
    <col min="7687" max="7687" width="9.33203125" style="973" bestFit="1" customWidth="1"/>
    <col min="7688" max="7690" width="9" style="973"/>
    <col min="7691" max="7691" width="2.6640625" style="973" customWidth="1"/>
    <col min="7692" max="7692" width="5.109375" style="973" customWidth="1"/>
    <col min="7693" max="7693" width="13.77734375" style="973" customWidth="1"/>
    <col min="7694" max="7936" width="9" style="973"/>
    <col min="7937" max="7937" width="4.88671875" style="973" customWidth="1"/>
    <col min="7938" max="7938" width="11.77734375" style="973" customWidth="1"/>
    <col min="7939" max="7939" width="17.77734375" style="973" customWidth="1"/>
    <col min="7940" max="7940" width="9.33203125" style="973" bestFit="1" customWidth="1"/>
    <col min="7941" max="7942" width="9" style="973"/>
    <col min="7943" max="7943" width="9.33203125" style="973" bestFit="1" customWidth="1"/>
    <col min="7944" max="7946" width="9" style="973"/>
    <col min="7947" max="7947" width="2.6640625" style="973" customWidth="1"/>
    <col min="7948" max="7948" width="5.109375" style="973" customWidth="1"/>
    <col min="7949" max="7949" width="13.77734375" style="973" customWidth="1"/>
    <col min="7950" max="8192" width="9" style="973"/>
    <col min="8193" max="8193" width="4.88671875" style="973" customWidth="1"/>
    <col min="8194" max="8194" width="11.77734375" style="973" customWidth="1"/>
    <col min="8195" max="8195" width="17.77734375" style="973" customWidth="1"/>
    <col min="8196" max="8196" width="9.33203125" style="973" bestFit="1" customWidth="1"/>
    <col min="8197" max="8198" width="9" style="973"/>
    <col min="8199" max="8199" width="9.33203125" style="973" bestFit="1" customWidth="1"/>
    <col min="8200" max="8202" width="9" style="973"/>
    <col min="8203" max="8203" width="2.6640625" style="973" customWidth="1"/>
    <col min="8204" max="8204" width="5.109375" style="973" customWidth="1"/>
    <col min="8205" max="8205" width="13.77734375" style="973" customWidth="1"/>
    <col min="8206" max="8448" width="9" style="973"/>
    <col min="8449" max="8449" width="4.88671875" style="973" customWidth="1"/>
    <col min="8450" max="8450" width="11.77734375" style="973" customWidth="1"/>
    <col min="8451" max="8451" width="17.77734375" style="973" customWidth="1"/>
    <col min="8452" max="8452" width="9.33203125" style="973" bestFit="1" customWidth="1"/>
    <col min="8453" max="8454" width="9" style="973"/>
    <col min="8455" max="8455" width="9.33203125" style="973" bestFit="1" customWidth="1"/>
    <col min="8456" max="8458" width="9" style="973"/>
    <col min="8459" max="8459" width="2.6640625" style="973" customWidth="1"/>
    <col min="8460" max="8460" width="5.109375" style="973" customWidth="1"/>
    <col min="8461" max="8461" width="13.77734375" style="973" customWidth="1"/>
    <col min="8462" max="8704" width="9" style="973"/>
    <col min="8705" max="8705" width="4.88671875" style="973" customWidth="1"/>
    <col min="8706" max="8706" width="11.77734375" style="973" customWidth="1"/>
    <col min="8707" max="8707" width="17.77734375" style="973" customWidth="1"/>
    <col min="8708" max="8708" width="9.33203125" style="973" bestFit="1" customWidth="1"/>
    <col min="8709" max="8710" width="9" style="973"/>
    <col min="8711" max="8711" width="9.33203125" style="973" bestFit="1" customWidth="1"/>
    <col min="8712" max="8714" width="9" style="973"/>
    <col min="8715" max="8715" width="2.6640625" style="973" customWidth="1"/>
    <col min="8716" max="8716" width="5.109375" style="973" customWidth="1"/>
    <col min="8717" max="8717" width="13.77734375" style="973" customWidth="1"/>
    <col min="8718" max="8960" width="9" style="973"/>
    <col min="8961" max="8961" width="4.88671875" style="973" customWidth="1"/>
    <col min="8962" max="8962" width="11.77734375" style="973" customWidth="1"/>
    <col min="8963" max="8963" width="17.77734375" style="973" customWidth="1"/>
    <col min="8964" max="8964" width="9.33203125" style="973" bestFit="1" customWidth="1"/>
    <col min="8965" max="8966" width="9" style="973"/>
    <col min="8967" max="8967" width="9.33203125" style="973" bestFit="1" customWidth="1"/>
    <col min="8968" max="8970" width="9" style="973"/>
    <col min="8971" max="8971" width="2.6640625" style="973" customWidth="1"/>
    <col min="8972" max="8972" width="5.109375" style="973" customWidth="1"/>
    <col min="8973" max="8973" width="13.77734375" style="973" customWidth="1"/>
    <col min="8974" max="9216" width="9" style="973"/>
    <col min="9217" max="9217" width="4.88671875" style="973" customWidth="1"/>
    <col min="9218" max="9218" width="11.77734375" style="973" customWidth="1"/>
    <col min="9219" max="9219" width="17.77734375" style="973" customWidth="1"/>
    <col min="9220" max="9220" width="9.33203125" style="973" bestFit="1" customWidth="1"/>
    <col min="9221" max="9222" width="9" style="973"/>
    <col min="9223" max="9223" width="9.33203125" style="973" bestFit="1" customWidth="1"/>
    <col min="9224" max="9226" width="9" style="973"/>
    <col min="9227" max="9227" width="2.6640625" style="973" customWidth="1"/>
    <col min="9228" max="9228" width="5.109375" style="973" customWidth="1"/>
    <col min="9229" max="9229" width="13.77734375" style="973" customWidth="1"/>
    <col min="9230" max="9472" width="9" style="973"/>
    <col min="9473" max="9473" width="4.88671875" style="973" customWidth="1"/>
    <col min="9474" max="9474" width="11.77734375" style="973" customWidth="1"/>
    <col min="9475" max="9475" width="17.77734375" style="973" customWidth="1"/>
    <col min="9476" max="9476" width="9.33203125" style="973" bestFit="1" customWidth="1"/>
    <col min="9477" max="9478" width="9" style="973"/>
    <col min="9479" max="9479" width="9.33203125" style="973" bestFit="1" customWidth="1"/>
    <col min="9480" max="9482" width="9" style="973"/>
    <col min="9483" max="9483" width="2.6640625" style="973" customWidth="1"/>
    <col min="9484" max="9484" width="5.109375" style="973" customWidth="1"/>
    <col min="9485" max="9485" width="13.77734375" style="973" customWidth="1"/>
    <col min="9486" max="9728" width="9" style="973"/>
    <col min="9729" max="9729" width="4.88671875" style="973" customWidth="1"/>
    <col min="9730" max="9730" width="11.77734375" style="973" customWidth="1"/>
    <col min="9731" max="9731" width="17.77734375" style="973" customWidth="1"/>
    <col min="9732" max="9732" width="9.33203125" style="973" bestFit="1" customWidth="1"/>
    <col min="9733" max="9734" width="9" style="973"/>
    <col min="9735" max="9735" width="9.33203125" style="973" bestFit="1" customWidth="1"/>
    <col min="9736" max="9738" width="9" style="973"/>
    <col min="9739" max="9739" width="2.6640625" style="973" customWidth="1"/>
    <col min="9740" max="9740" width="5.109375" style="973" customWidth="1"/>
    <col min="9741" max="9741" width="13.77734375" style="973" customWidth="1"/>
    <col min="9742" max="9984" width="9" style="973"/>
    <col min="9985" max="9985" width="4.88671875" style="973" customWidth="1"/>
    <col min="9986" max="9986" width="11.77734375" style="973" customWidth="1"/>
    <col min="9987" max="9987" width="17.77734375" style="973" customWidth="1"/>
    <col min="9988" max="9988" width="9.33203125" style="973" bestFit="1" customWidth="1"/>
    <col min="9989" max="9990" width="9" style="973"/>
    <col min="9991" max="9991" width="9.33203125" style="973" bestFit="1" customWidth="1"/>
    <col min="9992" max="9994" width="9" style="973"/>
    <col min="9995" max="9995" width="2.6640625" style="973" customWidth="1"/>
    <col min="9996" max="9996" width="5.109375" style="973" customWidth="1"/>
    <col min="9997" max="9997" width="13.77734375" style="973" customWidth="1"/>
    <col min="9998" max="10240" width="9" style="973"/>
    <col min="10241" max="10241" width="4.88671875" style="973" customWidth="1"/>
    <col min="10242" max="10242" width="11.77734375" style="973" customWidth="1"/>
    <col min="10243" max="10243" width="17.77734375" style="973" customWidth="1"/>
    <col min="10244" max="10244" width="9.33203125" style="973" bestFit="1" customWidth="1"/>
    <col min="10245" max="10246" width="9" style="973"/>
    <col min="10247" max="10247" width="9.33203125" style="973" bestFit="1" customWidth="1"/>
    <col min="10248" max="10250" width="9" style="973"/>
    <col min="10251" max="10251" width="2.6640625" style="973" customWidth="1"/>
    <col min="10252" max="10252" width="5.109375" style="973" customWidth="1"/>
    <col min="10253" max="10253" width="13.77734375" style="973" customWidth="1"/>
    <col min="10254" max="10496" width="9" style="973"/>
    <col min="10497" max="10497" width="4.88671875" style="973" customWidth="1"/>
    <col min="10498" max="10498" width="11.77734375" style="973" customWidth="1"/>
    <col min="10499" max="10499" width="17.77734375" style="973" customWidth="1"/>
    <col min="10500" max="10500" width="9.33203125" style="973" bestFit="1" customWidth="1"/>
    <col min="10501" max="10502" width="9" style="973"/>
    <col min="10503" max="10503" width="9.33203125" style="973" bestFit="1" customWidth="1"/>
    <col min="10504" max="10506" width="9" style="973"/>
    <col min="10507" max="10507" width="2.6640625" style="973" customWidth="1"/>
    <col min="10508" max="10508" width="5.109375" style="973" customWidth="1"/>
    <col min="10509" max="10509" width="13.77734375" style="973" customWidth="1"/>
    <col min="10510" max="10752" width="9" style="973"/>
    <col min="10753" max="10753" width="4.88671875" style="973" customWidth="1"/>
    <col min="10754" max="10754" width="11.77734375" style="973" customWidth="1"/>
    <col min="10755" max="10755" width="17.77734375" style="973" customWidth="1"/>
    <col min="10756" max="10756" width="9.33203125" style="973" bestFit="1" customWidth="1"/>
    <col min="10757" max="10758" width="9" style="973"/>
    <col min="10759" max="10759" width="9.33203125" style="973" bestFit="1" customWidth="1"/>
    <col min="10760" max="10762" width="9" style="973"/>
    <col min="10763" max="10763" width="2.6640625" style="973" customWidth="1"/>
    <col min="10764" max="10764" width="5.109375" style="973" customWidth="1"/>
    <col min="10765" max="10765" width="13.77734375" style="973" customWidth="1"/>
    <col min="10766" max="11008" width="9" style="973"/>
    <col min="11009" max="11009" width="4.88671875" style="973" customWidth="1"/>
    <col min="11010" max="11010" width="11.77734375" style="973" customWidth="1"/>
    <col min="11011" max="11011" width="17.77734375" style="973" customWidth="1"/>
    <col min="11012" max="11012" width="9.33203125" style="973" bestFit="1" customWidth="1"/>
    <col min="11013" max="11014" width="9" style="973"/>
    <col min="11015" max="11015" width="9.33203125" style="973" bestFit="1" customWidth="1"/>
    <col min="11016" max="11018" width="9" style="973"/>
    <col min="11019" max="11019" width="2.6640625" style="973" customWidth="1"/>
    <col min="11020" max="11020" width="5.109375" style="973" customWidth="1"/>
    <col min="11021" max="11021" width="13.77734375" style="973" customWidth="1"/>
    <col min="11022" max="11264" width="9" style="973"/>
    <col min="11265" max="11265" width="4.88671875" style="973" customWidth="1"/>
    <col min="11266" max="11266" width="11.77734375" style="973" customWidth="1"/>
    <col min="11267" max="11267" width="17.77734375" style="973" customWidth="1"/>
    <col min="11268" max="11268" width="9.33203125" style="973" bestFit="1" customWidth="1"/>
    <col min="11269" max="11270" width="9" style="973"/>
    <col min="11271" max="11271" width="9.33203125" style="973" bestFit="1" customWidth="1"/>
    <col min="11272" max="11274" width="9" style="973"/>
    <col min="11275" max="11275" width="2.6640625" style="973" customWidth="1"/>
    <col min="11276" max="11276" width="5.109375" style="973" customWidth="1"/>
    <col min="11277" max="11277" width="13.77734375" style="973" customWidth="1"/>
    <col min="11278" max="11520" width="9" style="973"/>
    <col min="11521" max="11521" width="4.88671875" style="973" customWidth="1"/>
    <col min="11522" max="11522" width="11.77734375" style="973" customWidth="1"/>
    <col min="11523" max="11523" width="17.77734375" style="973" customWidth="1"/>
    <col min="11524" max="11524" width="9.33203125" style="973" bestFit="1" customWidth="1"/>
    <col min="11525" max="11526" width="9" style="973"/>
    <col min="11527" max="11527" width="9.33203125" style="973" bestFit="1" customWidth="1"/>
    <col min="11528" max="11530" width="9" style="973"/>
    <col min="11531" max="11531" width="2.6640625" style="973" customWidth="1"/>
    <col min="11532" max="11532" width="5.109375" style="973" customWidth="1"/>
    <col min="11533" max="11533" width="13.77734375" style="973" customWidth="1"/>
    <col min="11534" max="11776" width="9" style="973"/>
    <col min="11777" max="11777" width="4.88671875" style="973" customWidth="1"/>
    <col min="11778" max="11778" width="11.77734375" style="973" customWidth="1"/>
    <col min="11779" max="11779" width="17.77734375" style="973" customWidth="1"/>
    <col min="11780" max="11780" width="9.33203125" style="973" bestFit="1" customWidth="1"/>
    <col min="11781" max="11782" width="9" style="973"/>
    <col min="11783" max="11783" width="9.33203125" style="973" bestFit="1" customWidth="1"/>
    <col min="11784" max="11786" width="9" style="973"/>
    <col min="11787" max="11787" width="2.6640625" style="973" customWidth="1"/>
    <col min="11788" max="11788" width="5.109375" style="973" customWidth="1"/>
    <col min="11789" max="11789" width="13.77734375" style="973" customWidth="1"/>
    <col min="11790" max="12032" width="9" style="973"/>
    <col min="12033" max="12033" width="4.88671875" style="973" customWidth="1"/>
    <col min="12034" max="12034" width="11.77734375" style="973" customWidth="1"/>
    <col min="12035" max="12035" width="17.77734375" style="973" customWidth="1"/>
    <col min="12036" max="12036" width="9.33203125" style="973" bestFit="1" customWidth="1"/>
    <col min="12037" max="12038" width="9" style="973"/>
    <col min="12039" max="12039" width="9.33203125" style="973" bestFit="1" customWidth="1"/>
    <col min="12040" max="12042" width="9" style="973"/>
    <col min="12043" max="12043" width="2.6640625" style="973" customWidth="1"/>
    <col min="12044" max="12044" width="5.109375" style="973" customWidth="1"/>
    <col min="12045" max="12045" width="13.77734375" style="973" customWidth="1"/>
    <col min="12046" max="12288" width="9" style="973"/>
    <col min="12289" max="12289" width="4.88671875" style="973" customWidth="1"/>
    <col min="12290" max="12290" width="11.77734375" style="973" customWidth="1"/>
    <col min="12291" max="12291" width="17.77734375" style="973" customWidth="1"/>
    <col min="12292" max="12292" width="9.33203125" style="973" bestFit="1" customWidth="1"/>
    <col min="12293" max="12294" width="9" style="973"/>
    <col min="12295" max="12295" width="9.33203125" style="973" bestFit="1" customWidth="1"/>
    <col min="12296" max="12298" width="9" style="973"/>
    <col min="12299" max="12299" width="2.6640625" style="973" customWidth="1"/>
    <col min="12300" max="12300" width="5.109375" style="973" customWidth="1"/>
    <col min="12301" max="12301" width="13.77734375" style="973" customWidth="1"/>
    <col min="12302" max="12544" width="9" style="973"/>
    <col min="12545" max="12545" width="4.88671875" style="973" customWidth="1"/>
    <col min="12546" max="12546" width="11.77734375" style="973" customWidth="1"/>
    <col min="12547" max="12547" width="17.77734375" style="973" customWidth="1"/>
    <col min="12548" max="12548" width="9.33203125" style="973" bestFit="1" customWidth="1"/>
    <col min="12549" max="12550" width="9" style="973"/>
    <col min="12551" max="12551" width="9.33203125" style="973" bestFit="1" customWidth="1"/>
    <col min="12552" max="12554" width="9" style="973"/>
    <col min="12555" max="12555" width="2.6640625" style="973" customWidth="1"/>
    <col min="12556" max="12556" width="5.109375" style="973" customWidth="1"/>
    <col min="12557" max="12557" width="13.77734375" style="973" customWidth="1"/>
    <col min="12558" max="12800" width="9" style="973"/>
    <col min="12801" max="12801" width="4.88671875" style="973" customWidth="1"/>
    <col min="12802" max="12802" width="11.77734375" style="973" customWidth="1"/>
    <col min="12803" max="12803" width="17.77734375" style="973" customWidth="1"/>
    <col min="12804" max="12804" width="9.33203125" style="973" bestFit="1" customWidth="1"/>
    <col min="12805" max="12806" width="9" style="973"/>
    <col min="12807" max="12807" width="9.33203125" style="973" bestFit="1" customWidth="1"/>
    <col min="12808" max="12810" width="9" style="973"/>
    <col min="12811" max="12811" width="2.6640625" style="973" customWidth="1"/>
    <col min="12812" max="12812" width="5.109375" style="973" customWidth="1"/>
    <col min="12813" max="12813" width="13.77734375" style="973" customWidth="1"/>
    <col min="12814" max="13056" width="9" style="973"/>
    <col min="13057" max="13057" width="4.88671875" style="973" customWidth="1"/>
    <col min="13058" max="13058" width="11.77734375" style="973" customWidth="1"/>
    <col min="13059" max="13059" width="17.77734375" style="973" customWidth="1"/>
    <col min="13060" max="13060" width="9.33203125" style="973" bestFit="1" customWidth="1"/>
    <col min="13061" max="13062" width="9" style="973"/>
    <col min="13063" max="13063" width="9.33203125" style="973" bestFit="1" customWidth="1"/>
    <col min="13064" max="13066" width="9" style="973"/>
    <col min="13067" max="13067" width="2.6640625" style="973" customWidth="1"/>
    <col min="13068" max="13068" width="5.109375" style="973" customWidth="1"/>
    <col min="13069" max="13069" width="13.77734375" style="973" customWidth="1"/>
    <col min="13070" max="13312" width="9" style="973"/>
    <col min="13313" max="13313" width="4.88671875" style="973" customWidth="1"/>
    <col min="13314" max="13314" width="11.77734375" style="973" customWidth="1"/>
    <col min="13315" max="13315" width="17.77734375" style="973" customWidth="1"/>
    <col min="13316" max="13316" width="9.33203125" style="973" bestFit="1" customWidth="1"/>
    <col min="13317" max="13318" width="9" style="973"/>
    <col min="13319" max="13319" width="9.33203125" style="973" bestFit="1" customWidth="1"/>
    <col min="13320" max="13322" width="9" style="973"/>
    <col min="13323" max="13323" width="2.6640625" style="973" customWidth="1"/>
    <col min="13324" max="13324" width="5.109375" style="973" customWidth="1"/>
    <col min="13325" max="13325" width="13.77734375" style="973" customWidth="1"/>
    <col min="13326" max="13568" width="9" style="973"/>
    <col min="13569" max="13569" width="4.88671875" style="973" customWidth="1"/>
    <col min="13570" max="13570" width="11.77734375" style="973" customWidth="1"/>
    <col min="13571" max="13571" width="17.77734375" style="973" customWidth="1"/>
    <col min="13572" max="13572" width="9.33203125" style="973" bestFit="1" customWidth="1"/>
    <col min="13573" max="13574" width="9" style="973"/>
    <col min="13575" max="13575" width="9.33203125" style="973" bestFit="1" customWidth="1"/>
    <col min="13576" max="13578" width="9" style="973"/>
    <col min="13579" max="13579" width="2.6640625" style="973" customWidth="1"/>
    <col min="13580" max="13580" width="5.109375" style="973" customWidth="1"/>
    <col min="13581" max="13581" width="13.77734375" style="973" customWidth="1"/>
    <col min="13582" max="13824" width="9" style="973"/>
    <col min="13825" max="13825" width="4.88671875" style="973" customWidth="1"/>
    <col min="13826" max="13826" width="11.77734375" style="973" customWidth="1"/>
    <col min="13827" max="13827" width="17.77734375" style="973" customWidth="1"/>
    <col min="13828" max="13828" width="9.33203125" style="973" bestFit="1" customWidth="1"/>
    <col min="13829" max="13830" width="9" style="973"/>
    <col min="13831" max="13831" width="9.33203125" style="973" bestFit="1" customWidth="1"/>
    <col min="13832" max="13834" width="9" style="973"/>
    <col min="13835" max="13835" width="2.6640625" style="973" customWidth="1"/>
    <col min="13836" max="13836" width="5.109375" style="973" customWidth="1"/>
    <col min="13837" max="13837" width="13.77734375" style="973" customWidth="1"/>
    <col min="13838" max="14080" width="9" style="973"/>
    <col min="14081" max="14081" width="4.88671875" style="973" customWidth="1"/>
    <col min="14082" max="14082" width="11.77734375" style="973" customWidth="1"/>
    <col min="14083" max="14083" width="17.77734375" style="973" customWidth="1"/>
    <col min="14084" max="14084" width="9.33203125" style="973" bestFit="1" customWidth="1"/>
    <col min="14085" max="14086" width="9" style="973"/>
    <col min="14087" max="14087" width="9.33203125" style="973" bestFit="1" customWidth="1"/>
    <col min="14088" max="14090" width="9" style="973"/>
    <col min="14091" max="14091" width="2.6640625" style="973" customWidth="1"/>
    <col min="14092" max="14092" width="5.109375" style="973" customWidth="1"/>
    <col min="14093" max="14093" width="13.77734375" style="973" customWidth="1"/>
    <col min="14094" max="14336" width="9" style="973"/>
    <col min="14337" max="14337" width="4.88671875" style="973" customWidth="1"/>
    <col min="14338" max="14338" width="11.77734375" style="973" customWidth="1"/>
    <col min="14339" max="14339" width="17.77734375" style="973" customWidth="1"/>
    <col min="14340" max="14340" width="9.33203125" style="973" bestFit="1" customWidth="1"/>
    <col min="14341" max="14342" width="9" style="973"/>
    <col min="14343" max="14343" width="9.33203125" style="973" bestFit="1" customWidth="1"/>
    <col min="14344" max="14346" width="9" style="973"/>
    <col min="14347" max="14347" width="2.6640625" style="973" customWidth="1"/>
    <col min="14348" max="14348" width="5.109375" style="973" customWidth="1"/>
    <col min="14349" max="14349" width="13.77734375" style="973" customWidth="1"/>
    <col min="14350" max="14592" width="9" style="973"/>
    <col min="14593" max="14593" width="4.88671875" style="973" customWidth="1"/>
    <col min="14594" max="14594" width="11.77734375" style="973" customWidth="1"/>
    <col min="14595" max="14595" width="17.77734375" style="973" customWidth="1"/>
    <col min="14596" max="14596" width="9.33203125" style="973" bestFit="1" customWidth="1"/>
    <col min="14597" max="14598" width="9" style="973"/>
    <col min="14599" max="14599" width="9.33203125" style="973" bestFit="1" customWidth="1"/>
    <col min="14600" max="14602" width="9" style="973"/>
    <col min="14603" max="14603" width="2.6640625" style="973" customWidth="1"/>
    <col min="14604" max="14604" width="5.109375" style="973" customWidth="1"/>
    <col min="14605" max="14605" width="13.77734375" style="973" customWidth="1"/>
    <col min="14606" max="14848" width="9" style="973"/>
    <col min="14849" max="14849" width="4.88671875" style="973" customWidth="1"/>
    <col min="14850" max="14850" width="11.77734375" style="973" customWidth="1"/>
    <col min="14851" max="14851" width="17.77734375" style="973" customWidth="1"/>
    <col min="14852" max="14852" width="9.33203125" style="973" bestFit="1" customWidth="1"/>
    <col min="14853" max="14854" width="9" style="973"/>
    <col min="14855" max="14855" width="9.33203125" style="973" bestFit="1" customWidth="1"/>
    <col min="14856" max="14858" width="9" style="973"/>
    <col min="14859" max="14859" width="2.6640625" style="973" customWidth="1"/>
    <col min="14860" max="14860" width="5.109375" style="973" customWidth="1"/>
    <col min="14861" max="14861" width="13.77734375" style="973" customWidth="1"/>
    <col min="14862" max="15104" width="9" style="973"/>
    <col min="15105" max="15105" width="4.88671875" style="973" customWidth="1"/>
    <col min="15106" max="15106" width="11.77734375" style="973" customWidth="1"/>
    <col min="15107" max="15107" width="17.77734375" style="973" customWidth="1"/>
    <col min="15108" max="15108" width="9.33203125" style="973" bestFit="1" customWidth="1"/>
    <col min="15109" max="15110" width="9" style="973"/>
    <col min="15111" max="15111" width="9.33203125" style="973" bestFit="1" customWidth="1"/>
    <col min="15112" max="15114" width="9" style="973"/>
    <col min="15115" max="15115" width="2.6640625" style="973" customWidth="1"/>
    <col min="15116" max="15116" width="5.109375" style="973" customWidth="1"/>
    <col min="15117" max="15117" width="13.77734375" style="973" customWidth="1"/>
    <col min="15118" max="15360" width="9" style="973"/>
    <col min="15361" max="15361" width="4.88671875" style="973" customWidth="1"/>
    <col min="15362" max="15362" width="11.77734375" style="973" customWidth="1"/>
    <col min="15363" max="15363" width="17.77734375" style="973" customWidth="1"/>
    <col min="15364" max="15364" width="9.33203125" style="973" bestFit="1" customWidth="1"/>
    <col min="15365" max="15366" width="9" style="973"/>
    <col min="15367" max="15367" width="9.33203125" style="973" bestFit="1" customWidth="1"/>
    <col min="15368" max="15370" width="9" style="973"/>
    <col min="15371" max="15371" width="2.6640625" style="973" customWidth="1"/>
    <col min="15372" max="15372" width="5.109375" style="973" customWidth="1"/>
    <col min="15373" max="15373" width="13.77734375" style="973" customWidth="1"/>
    <col min="15374" max="15616" width="9" style="973"/>
    <col min="15617" max="15617" width="4.88671875" style="973" customWidth="1"/>
    <col min="15618" max="15618" width="11.77734375" style="973" customWidth="1"/>
    <col min="15619" max="15619" width="17.77734375" style="973" customWidth="1"/>
    <col min="15620" max="15620" width="9.33203125" style="973" bestFit="1" customWidth="1"/>
    <col min="15621" max="15622" width="9" style="973"/>
    <col min="15623" max="15623" width="9.33203125" style="973" bestFit="1" customWidth="1"/>
    <col min="15624" max="15626" width="9" style="973"/>
    <col min="15627" max="15627" width="2.6640625" style="973" customWidth="1"/>
    <col min="15628" max="15628" width="5.109375" style="973" customWidth="1"/>
    <col min="15629" max="15629" width="13.77734375" style="973" customWidth="1"/>
    <col min="15630" max="15872" width="9" style="973"/>
    <col min="15873" max="15873" width="4.88671875" style="973" customWidth="1"/>
    <col min="15874" max="15874" width="11.77734375" style="973" customWidth="1"/>
    <col min="15875" max="15875" width="17.77734375" style="973" customWidth="1"/>
    <col min="15876" max="15876" width="9.33203125" style="973" bestFit="1" customWidth="1"/>
    <col min="15877" max="15878" width="9" style="973"/>
    <col min="15879" max="15879" width="9.33203125" style="973" bestFit="1" customWidth="1"/>
    <col min="15880" max="15882" width="9" style="973"/>
    <col min="15883" max="15883" width="2.6640625" style="973" customWidth="1"/>
    <col min="15884" max="15884" width="5.109375" style="973" customWidth="1"/>
    <col min="15885" max="15885" width="13.77734375" style="973" customWidth="1"/>
    <col min="15886" max="16128" width="9" style="973"/>
    <col min="16129" max="16129" width="4.88671875" style="973" customWidth="1"/>
    <col min="16130" max="16130" width="11.77734375" style="973" customWidth="1"/>
    <col min="16131" max="16131" width="17.77734375" style="973" customWidth="1"/>
    <col min="16132" max="16132" width="9.33203125" style="973" bestFit="1" customWidth="1"/>
    <col min="16133" max="16134" width="9" style="973"/>
    <col min="16135" max="16135" width="9.33203125" style="973" bestFit="1" customWidth="1"/>
    <col min="16136" max="16138" width="9" style="973"/>
    <col min="16139" max="16139" width="2.6640625" style="973" customWidth="1"/>
    <col min="16140" max="16140" width="5.109375" style="973" customWidth="1"/>
    <col min="16141" max="16141" width="13.77734375" style="973" customWidth="1"/>
    <col min="16142" max="16384" width="9" style="973"/>
  </cols>
  <sheetData>
    <row r="1" spans="1:26">
      <c r="B1" s="1009" t="s">
        <v>1505</v>
      </c>
      <c r="C1" s="1013">
        <f>主表!B3</f>
        <v>39948</v>
      </c>
      <c r="D1" s="970" t="str">
        <f>主表!A23</f>
        <v>建设期</v>
      </c>
      <c r="E1" s="1008">
        <f>主表!B23</f>
        <v>0</v>
      </c>
      <c r="F1" s="970" t="s">
        <v>1506</v>
      </c>
      <c r="G1" s="971">
        <f ca="1">INDIRECT("d"&amp;$K$1)/100</f>
        <v>0</v>
      </c>
      <c r="H1" s="970" t="s">
        <v>1507</v>
      </c>
      <c r="I1" s="971">
        <f>SUMIF(F4:F8,E1,G4:G8)/100</f>
        <v>0</v>
      </c>
      <c r="J1" s="1137">
        <f>IF(C1&gt;C14,0,MATCH(C1,C$14:C$68,-1))+IF(SUMIF(C14:C68,C1,D14:D68)=0,14,13)</f>
        <v>36</v>
      </c>
      <c r="K1" s="1137">
        <f ca="1">MATCH(E1,C4:C8,1)+IF(SUMIF(C4:C8,E1,D4:D8)=0,3,2)</f>
        <v>3</v>
      </c>
      <c r="L1" s="1137">
        <f>IF(C1&gt;M14,0,MATCH(C1,M$14:M$52,-1))+IF(SUMIF(M14:M52,C1,N14:N52)=0,14,13)</f>
        <v>27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1200</v>
      </c>
      <c r="C2" s="1014">
        <f>主表!B4</f>
        <v>39948</v>
      </c>
      <c r="D2" s="1012" t="str">
        <f>主表!A24</f>
        <v>土地开发期</v>
      </c>
      <c r="E2" s="1008">
        <f>主表!B24</f>
        <v>0</v>
      </c>
      <c r="F2" s="970" t="s">
        <v>1506</v>
      </c>
      <c r="G2" s="971">
        <f ca="1">INDIRECT("e"&amp;$K$2)/100</f>
        <v>0.03</v>
      </c>
      <c r="H2" s="970" t="s">
        <v>1507</v>
      </c>
      <c r="I2" s="971">
        <f>SUMIF(F4:F8,E2,G4:G8)/100</f>
        <v>0</v>
      </c>
      <c r="J2" s="1137">
        <f>IF(C2&gt;C14,0,MATCH(C2,C$14:C$68,-1))+IF(SUMIF(C14:C68,C2,D14:D68)=0,14,13)</f>
        <v>36</v>
      </c>
      <c r="K2" s="1137">
        <f ca="1">MATCH(E2,C4:C8,1)+IF(SUMIF(C4:C8,E2,D4:D8)=0,3,2)</f>
        <v>3</v>
      </c>
      <c r="L2" s="1137">
        <f>IF(C2&gt;M14,0,MATCH(C2,M$14:M$52,-1))+IF(SUMIF(M14:M52,C2,N14:N52)=0,14,13)</f>
        <v>27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6" thickBot="1">
      <c r="A3" s="969"/>
      <c r="B3" s="1016"/>
      <c r="C3" s="1017"/>
      <c r="D3" s="1018"/>
      <c r="E3" s="1019">
        <v>3</v>
      </c>
      <c r="F3" s="1019" t="s">
        <v>1506</v>
      </c>
      <c r="G3" s="1020">
        <f ca="1">INDIRECT("e"&amp;$K$3)/100</f>
        <v>5.4000000000000006E-2</v>
      </c>
      <c r="H3" s="1019" t="s">
        <v>1507</v>
      </c>
      <c r="I3" s="1020">
        <f ca="1">SUMIF(F4:F8,E3,H4:H8)/100</f>
        <v>3.3300000000000003E-2</v>
      </c>
      <c r="J3" s="1138"/>
      <c r="K3" s="1137">
        <f ca="1">MATCH(E3,C4:C8,1)+IF(SUMIF(C4:C8,E3,D4:D8)=0,3,2)</f>
        <v>6</v>
      </c>
      <c r="L3" s="1138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6" thickTop="1">
      <c r="B4" s="1010" t="s">
        <v>1508</v>
      </c>
      <c r="C4" s="1005">
        <v>0</v>
      </c>
      <c r="D4" s="1004">
        <f ca="1">INDIRECT("d"&amp;$J$1)</f>
        <v>4.8600000000000003</v>
      </c>
      <c r="E4" s="1004">
        <f ca="1">INDIRECT("d"&amp;$J$2)</f>
        <v>4.8600000000000003</v>
      </c>
      <c r="F4" s="1005">
        <v>0.5</v>
      </c>
      <c r="G4" s="1006">
        <f ca="1">INDIRECT("p"&amp;$L$1)</f>
        <v>1.98</v>
      </c>
      <c r="H4" s="1006">
        <f ca="1">INDIRECT("p"&amp;$L$2)</f>
        <v>1.98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1509</v>
      </c>
      <c r="C5" s="977">
        <v>0.5</v>
      </c>
      <c r="D5" s="978">
        <f ca="1">INDIRECT("e"&amp;$J$1)</f>
        <v>5.31</v>
      </c>
      <c r="E5" s="978">
        <f ca="1">INDIRECT("e"&amp;$J$2)</f>
        <v>5.31</v>
      </c>
      <c r="F5" s="977">
        <v>1</v>
      </c>
      <c r="G5" s="1007">
        <f ca="1">INDIRECT("q"&amp;$L$1)</f>
        <v>2.25</v>
      </c>
      <c r="H5" s="1007">
        <f ca="1">INDIRECT("q"&amp;$L$2)</f>
        <v>2.25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1510</v>
      </c>
      <c r="C6" s="977">
        <v>1</v>
      </c>
      <c r="D6" s="978">
        <f ca="1">INDIRECT("f"&amp;$J$1)</f>
        <v>5.4</v>
      </c>
      <c r="E6" s="978">
        <f ca="1">INDIRECT("f"&amp;$J$2)</f>
        <v>5.4</v>
      </c>
      <c r="F6" s="977">
        <v>2</v>
      </c>
      <c r="G6" s="1007">
        <f ca="1">INDIRECT("r"&amp;$L$1)</f>
        <v>2.79</v>
      </c>
      <c r="H6" s="1007">
        <f ca="1">INDIRECT("r"&amp;$L$2)</f>
        <v>2.79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1511</v>
      </c>
      <c r="C7" s="977">
        <v>3</v>
      </c>
      <c r="D7" s="978">
        <f ca="1">INDIRECT("g"&amp;$J$1)</f>
        <v>5.76</v>
      </c>
      <c r="E7" s="978">
        <f ca="1">INDIRECT("g"&amp;$J$2)</f>
        <v>5.76</v>
      </c>
      <c r="F7" s="977">
        <v>3</v>
      </c>
      <c r="G7" s="1007">
        <f ca="1">INDIRECT("s"&amp;$L$1)</f>
        <v>3.33</v>
      </c>
      <c r="H7" s="1007">
        <f ca="1">INDIRECT("s"&amp;$L$2)</f>
        <v>3.33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1512</v>
      </c>
      <c r="C8" s="977">
        <v>5</v>
      </c>
      <c r="D8" s="978">
        <f ca="1">INDIRECT("h"&amp;$J$1)</f>
        <v>5.94</v>
      </c>
      <c r="E8" s="978">
        <f ca="1">INDIRECT("h"&amp;$J$2)</f>
        <v>5.94</v>
      </c>
      <c r="F8" s="977">
        <v>5</v>
      </c>
      <c r="G8" s="1007">
        <f ca="1">INDIRECT("t"&amp;$L$1)</f>
        <v>3.6</v>
      </c>
      <c r="H8" s="1007">
        <f ca="1">INDIRECT("t"&amp;$L$2)</f>
        <v>3.6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2">
      <c r="A11" s="979"/>
      <c r="B11" s="980" t="s">
        <v>1513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1514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1515</v>
      </c>
      <c r="C12" s="984" t="s">
        <v>1516</v>
      </c>
      <c r="D12" s="985" t="s">
        <v>1517</v>
      </c>
      <c r="E12" s="986"/>
      <c r="F12" s="985" t="s">
        <v>1518</v>
      </c>
      <c r="G12" s="987"/>
      <c r="H12" s="986"/>
      <c r="I12" s="985" t="s">
        <v>1519</v>
      </c>
      <c r="J12" s="986"/>
      <c r="K12" s="982"/>
      <c r="L12" s="983" t="s">
        <v>1515</v>
      </c>
      <c r="M12" s="984" t="s">
        <v>1516</v>
      </c>
      <c r="N12" s="983" t="s">
        <v>1520</v>
      </c>
      <c r="O12" s="985" t="s">
        <v>1521</v>
      </c>
      <c r="P12" s="987"/>
      <c r="Q12" s="987"/>
      <c r="R12" s="987"/>
      <c r="S12" s="987"/>
      <c r="T12" s="986"/>
      <c r="U12" s="985" t="s">
        <v>1522</v>
      </c>
      <c r="V12" s="987"/>
      <c r="W12" s="986"/>
      <c r="X12" s="983" t="s">
        <v>1523</v>
      </c>
      <c r="Y12" s="983" t="s">
        <v>1524</v>
      </c>
      <c r="Z12" s="983" t="s">
        <v>1525</v>
      </c>
    </row>
    <row r="13" spans="1:26" s="993" customFormat="1">
      <c r="A13" s="989"/>
      <c r="B13" s="990"/>
      <c r="C13" s="991"/>
      <c r="D13" s="976" t="s">
        <v>1508</v>
      </c>
      <c r="E13" s="976" t="s">
        <v>1509</v>
      </c>
      <c r="F13" s="976" t="s">
        <v>1510</v>
      </c>
      <c r="G13" s="976" t="s">
        <v>1511</v>
      </c>
      <c r="H13" s="976" t="s">
        <v>1512</v>
      </c>
      <c r="I13" s="992" t="s">
        <v>1526</v>
      </c>
      <c r="J13" s="992" t="s">
        <v>1526</v>
      </c>
      <c r="K13" s="989"/>
      <c r="L13" s="990"/>
      <c r="M13" s="991"/>
      <c r="N13" s="990"/>
      <c r="O13" s="992" t="s">
        <v>1527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31.2">
      <c r="A14" s="994"/>
      <c r="B14" s="995" t="s">
        <v>1528</v>
      </c>
      <c r="C14" s="1754">
        <v>44795</v>
      </c>
      <c r="D14" s="1755">
        <v>3.65</v>
      </c>
      <c r="E14" s="1755">
        <f t="shared" ref="E14:E22" si="0">D14</f>
        <v>3.65</v>
      </c>
      <c r="F14" s="1755">
        <f t="shared" ref="F14:F22" si="1">D14</f>
        <v>3.65</v>
      </c>
      <c r="G14" s="1755">
        <f t="shared" ref="G14:G22" si="2">D14</f>
        <v>3.65</v>
      </c>
      <c r="H14" s="1755">
        <v>4.3</v>
      </c>
      <c r="I14" s="996"/>
      <c r="J14" s="996"/>
      <c r="K14" s="1015"/>
      <c r="L14" s="995" t="s">
        <v>1528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5.6">
      <c r="A15" s="994"/>
      <c r="B15" s="995"/>
      <c r="C15" s="1000">
        <v>44701</v>
      </c>
      <c r="D15" s="999">
        <v>3.7</v>
      </c>
      <c r="E15" s="999">
        <f t="shared" ref="E15" si="3">D15</f>
        <v>3.7</v>
      </c>
      <c r="F15" s="999">
        <f t="shared" ref="F15" si="4">D15</f>
        <v>3.7</v>
      </c>
      <c r="G15" s="999">
        <f t="shared" ref="G15" si="5">D15</f>
        <v>3.7</v>
      </c>
      <c r="H15" s="999">
        <v>4.45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5.6">
      <c r="A16" s="994"/>
      <c r="B16" s="995"/>
      <c r="C16" s="1000">
        <v>44581</v>
      </c>
      <c r="D16" s="999">
        <v>3.7</v>
      </c>
      <c r="E16" s="999">
        <f t="shared" ref="E16" si="6">D16</f>
        <v>3.7</v>
      </c>
      <c r="F16" s="999">
        <f t="shared" ref="F16" si="7">D16</f>
        <v>3.7</v>
      </c>
      <c r="G16" s="999">
        <f t="shared" ref="G16" si="8">D16</f>
        <v>3.7</v>
      </c>
      <c r="H16" s="999">
        <v>4.5999999999999996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5.6">
      <c r="A17" s="994"/>
      <c r="B17" s="999"/>
      <c r="C17" s="1000">
        <v>44550</v>
      </c>
      <c r="D17" s="999">
        <v>3.8</v>
      </c>
      <c r="E17" s="999">
        <f t="shared" si="0"/>
        <v>3.8</v>
      </c>
      <c r="F17" s="999">
        <f t="shared" si="1"/>
        <v>3.8</v>
      </c>
      <c r="G17" s="999">
        <f t="shared" si="2"/>
        <v>3.8</v>
      </c>
      <c r="H17" s="999">
        <v>4.6500000000000004</v>
      </c>
      <c r="I17" s="996"/>
      <c r="J17" s="996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5.6">
      <c r="A18" s="994"/>
      <c r="B18" s="999"/>
      <c r="C18" s="1000">
        <v>43941</v>
      </c>
      <c r="D18" s="999">
        <v>3.85</v>
      </c>
      <c r="E18" s="999">
        <f t="shared" si="0"/>
        <v>3.85</v>
      </c>
      <c r="F18" s="999">
        <f t="shared" si="1"/>
        <v>3.85</v>
      </c>
      <c r="G18" s="999">
        <f t="shared" si="2"/>
        <v>3.85</v>
      </c>
      <c r="H18" s="999">
        <v>4.6500000000000004</v>
      </c>
      <c r="I18" s="996"/>
      <c r="J18" s="996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6.8">
      <c r="A19" s="994"/>
      <c r="B19" s="999"/>
      <c r="C19" s="1000">
        <v>43881</v>
      </c>
      <c r="D19" s="999">
        <v>4.05</v>
      </c>
      <c r="E19" s="999">
        <f t="shared" si="0"/>
        <v>4.05</v>
      </c>
      <c r="F19" s="999">
        <f t="shared" si="1"/>
        <v>4.05</v>
      </c>
      <c r="G19" s="999">
        <f t="shared" si="2"/>
        <v>4.05</v>
      </c>
      <c r="H19" s="999">
        <v>4.75</v>
      </c>
      <c r="I19" s="999"/>
      <c r="J19" s="999"/>
      <c r="K19" s="1015"/>
      <c r="L19" s="1759"/>
      <c r="M19" s="1758">
        <v>41965</v>
      </c>
      <c r="N19" s="1759">
        <v>0.35</v>
      </c>
      <c r="O19" s="1759">
        <v>2.35</v>
      </c>
      <c r="P19" s="1759">
        <v>2.5499999999999998</v>
      </c>
      <c r="Q19" s="1759">
        <v>2.75</v>
      </c>
      <c r="R19" s="1759">
        <v>3.35</v>
      </c>
      <c r="S19" s="1759">
        <v>4</v>
      </c>
      <c r="T19" s="1759">
        <v>4.75</v>
      </c>
      <c r="U19" s="1760">
        <v>2.35</v>
      </c>
      <c r="V19" s="1760">
        <v>2.5499999999999998</v>
      </c>
      <c r="W19" s="1760">
        <v>2.75</v>
      </c>
      <c r="X19" s="1759"/>
      <c r="Y19" s="1760">
        <v>0.8</v>
      </c>
      <c r="Z19" s="1760">
        <v>1.35</v>
      </c>
    </row>
    <row r="20" spans="1:26" ht="15.6">
      <c r="A20" s="994"/>
      <c r="B20" s="999"/>
      <c r="C20" s="1000">
        <v>43789</v>
      </c>
      <c r="D20" s="999">
        <v>4.1500000000000004</v>
      </c>
      <c r="E20" s="999">
        <f t="shared" si="0"/>
        <v>4.1500000000000004</v>
      </c>
      <c r="F20" s="999">
        <f t="shared" si="1"/>
        <v>4.1500000000000004</v>
      </c>
      <c r="G20" s="999">
        <f t="shared" si="2"/>
        <v>4.1500000000000004</v>
      </c>
      <c r="H20" s="999">
        <v>4.8</v>
      </c>
      <c r="I20" s="999"/>
      <c r="J20" s="999"/>
      <c r="K20" s="1756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5.6">
      <c r="A21" s="1756"/>
      <c r="B21" s="999"/>
      <c r="C21" s="1000">
        <v>43728</v>
      </c>
      <c r="D21" s="999">
        <v>4.2</v>
      </c>
      <c r="E21" s="999">
        <f t="shared" si="0"/>
        <v>4.2</v>
      </c>
      <c r="F21" s="999">
        <f t="shared" si="1"/>
        <v>4.2</v>
      </c>
      <c r="G21" s="999">
        <f t="shared" si="2"/>
        <v>4.2</v>
      </c>
      <c r="H21" s="999">
        <v>4.8499999999999996</v>
      </c>
      <c r="I21" s="999"/>
      <c r="J21" s="999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 ht="15.6">
      <c r="B22" s="1752" t="s">
        <v>1785</v>
      </c>
      <c r="C22" s="1001">
        <v>43697</v>
      </c>
      <c r="D22" s="1753">
        <v>4.25</v>
      </c>
      <c r="E22" s="1753">
        <f t="shared" si="0"/>
        <v>4.25</v>
      </c>
      <c r="F22" s="1753">
        <f t="shared" si="1"/>
        <v>4.25</v>
      </c>
      <c r="G22" s="1753">
        <f t="shared" si="2"/>
        <v>4.25</v>
      </c>
      <c r="H22" s="1753">
        <v>4.8499999999999996</v>
      </c>
      <c r="I22" s="1753"/>
      <c r="J22" s="1753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 ht="15.6">
      <c r="B23" s="1757"/>
      <c r="C23" s="1758">
        <v>42301</v>
      </c>
      <c r="D23" s="1759">
        <v>4.3499999999999996</v>
      </c>
      <c r="E23" s="1759">
        <v>4.3499999999999996</v>
      </c>
      <c r="F23" s="1759">
        <v>4.75</v>
      </c>
      <c r="G23" s="1759">
        <v>4.75</v>
      </c>
      <c r="H23" s="1759">
        <v>4.9000000000000004</v>
      </c>
      <c r="I23" s="1759"/>
      <c r="J23" s="1759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42242</v>
      </c>
      <c r="D24" s="999">
        <v>4.5999999999999996</v>
      </c>
      <c r="E24" s="999">
        <v>4.5999999999999996</v>
      </c>
      <c r="F24" s="999">
        <v>5</v>
      </c>
      <c r="G24" s="999">
        <v>5</v>
      </c>
      <c r="H24" s="999">
        <v>5.15</v>
      </c>
      <c r="I24" s="999">
        <v>2.75</v>
      </c>
      <c r="J24" s="999">
        <v>3.25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42183</v>
      </c>
      <c r="D25" s="999">
        <v>4.8499999999999996</v>
      </c>
      <c r="E25" s="999">
        <v>4.8499999999999996</v>
      </c>
      <c r="F25" s="999">
        <v>5.25</v>
      </c>
      <c r="G25" s="999">
        <v>5.25</v>
      </c>
      <c r="H25" s="999">
        <v>5.4</v>
      </c>
      <c r="I25" s="999">
        <v>3</v>
      </c>
      <c r="J25" s="999">
        <v>3.5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42135</v>
      </c>
      <c r="D26" s="999">
        <v>5.0999999999999996</v>
      </c>
      <c r="E26" s="999">
        <v>5.0999999999999996</v>
      </c>
      <c r="F26" s="999">
        <v>5.5</v>
      </c>
      <c r="G26" s="999">
        <v>5.5</v>
      </c>
      <c r="H26" s="999">
        <v>5.65</v>
      </c>
      <c r="I26" s="999">
        <v>3.25</v>
      </c>
      <c r="J26" s="999">
        <v>3.75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42064</v>
      </c>
      <c r="D27" s="999">
        <v>5.35</v>
      </c>
      <c r="E27" s="999">
        <v>5.35</v>
      </c>
      <c r="F27" s="999">
        <v>5.75</v>
      </c>
      <c r="G27" s="999">
        <v>5.75</v>
      </c>
      <c r="H27" s="999">
        <v>5.9</v>
      </c>
      <c r="I27" s="999"/>
      <c r="J27" s="999"/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41965</v>
      </c>
      <c r="D28" s="999">
        <v>5.6</v>
      </c>
      <c r="E28" s="999">
        <v>5.6</v>
      </c>
      <c r="F28" s="999">
        <v>6</v>
      </c>
      <c r="G28" s="999">
        <v>6</v>
      </c>
      <c r="H28" s="999">
        <v>6.15</v>
      </c>
      <c r="I28" s="999"/>
      <c r="J28" s="999"/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41096</v>
      </c>
      <c r="D29" s="999">
        <v>5.6</v>
      </c>
      <c r="E29" s="999">
        <v>6</v>
      </c>
      <c r="F29" s="999">
        <v>6.15</v>
      </c>
      <c r="G29" s="999">
        <v>6.4</v>
      </c>
      <c r="H29" s="999">
        <v>6.55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41068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40731</v>
      </c>
      <c r="D31" s="999">
        <v>6.1</v>
      </c>
      <c r="E31" s="999">
        <v>6.56</v>
      </c>
      <c r="F31" s="999">
        <v>6.65</v>
      </c>
      <c r="G31" s="999">
        <v>6.9</v>
      </c>
      <c r="H31" s="999">
        <v>7.05</v>
      </c>
      <c r="I31" s="999">
        <v>4.45</v>
      </c>
      <c r="J31" s="999">
        <v>4.9000000000000004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40639</v>
      </c>
      <c r="D32" s="999">
        <v>5.85</v>
      </c>
      <c r="E32" s="999">
        <v>6.31</v>
      </c>
      <c r="F32" s="999">
        <v>6.4</v>
      </c>
      <c r="G32" s="999">
        <v>6.65</v>
      </c>
      <c r="H32" s="999">
        <v>6.8</v>
      </c>
      <c r="I32" s="999">
        <v>4.2</v>
      </c>
      <c r="J32" s="999">
        <v>4.7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40583</v>
      </c>
      <c r="D33" s="999">
        <v>5.6</v>
      </c>
      <c r="E33" s="999">
        <v>6.06</v>
      </c>
      <c r="F33" s="999">
        <v>6.1</v>
      </c>
      <c r="G33" s="999">
        <v>6.45</v>
      </c>
      <c r="H33" s="999">
        <v>6.6</v>
      </c>
      <c r="I33" s="999">
        <v>4</v>
      </c>
      <c r="J33" s="999">
        <v>4.5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40538</v>
      </c>
      <c r="D34" s="999">
        <v>5.35</v>
      </c>
      <c r="E34" s="999">
        <v>5.81</v>
      </c>
      <c r="F34" s="999">
        <v>5.85</v>
      </c>
      <c r="G34" s="999">
        <v>6.22</v>
      </c>
      <c r="H34" s="999">
        <v>6.4</v>
      </c>
      <c r="I34" s="999">
        <v>3.75</v>
      </c>
      <c r="J34" s="999">
        <v>4.3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40471</v>
      </c>
      <c r="D35" s="999">
        <v>5.0999999999999996</v>
      </c>
      <c r="E35" s="999">
        <v>5.56</v>
      </c>
      <c r="F35" s="999">
        <v>5.6</v>
      </c>
      <c r="G35" s="999">
        <v>5.96</v>
      </c>
      <c r="H35" s="999">
        <v>6.14</v>
      </c>
      <c r="I35" s="999">
        <v>3.5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39805</v>
      </c>
      <c r="D36" s="999">
        <v>4.8600000000000003</v>
      </c>
      <c r="E36" s="999">
        <v>5.31</v>
      </c>
      <c r="F36" s="999">
        <v>5.4</v>
      </c>
      <c r="G36" s="999">
        <v>5.76</v>
      </c>
      <c r="H36" s="999">
        <v>5.94</v>
      </c>
      <c r="I36" s="999">
        <v>3.33</v>
      </c>
      <c r="J36" s="999">
        <v>3.87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39779</v>
      </c>
      <c r="D37" s="999">
        <v>5.04</v>
      </c>
      <c r="E37" s="999">
        <v>5.58</v>
      </c>
      <c r="F37" s="999">
        <v>5.67</v>
      </c>
      <c r="G37" s="999">
        <v>5.94</v>
      </c>
      <c r="H37" s="999">
        <v>6.12</v>
      </c>
      <c r="I37" s="999">
        <v>3.51</v>
      </c>
      <c r="J37" s="999">
        <v>4.05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39751</v>
      </c>
      <c r="D38" s="999">
        <v>6.03</v>
      </c>
      <c r="E38" s="999">
        <v>6.66</v>
      </c>
      <c r="F38" s="999">
        <v>6.75</v>
      </c>
      <c r="G38" s="999">
        <v>7.02</v>
      </c>
      <c r="H38" s="999">
        <v>7.2</v>
      </c>
      <c r="I38" s="999">
        <v>4.05</v>
      </c>
      <c r="J38" s="999">
        <v>4.59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1">
        <v>39748</v>
      </c>
      <c r="D39" s="999">
        <v>6.12</v>
      </c>
      <c r="E39" s="999">
        <v>6.93</v>
      </c>
      <c r="F39" s="999">
        <v>7.02</v>
      </c>
      <c r="G39" s="999">
        <v>7.29</v>
      </c>
      <c r="H39" s="999">
        <v>7.47</v>
      </c>
      <c r="I39" s="999">
        <v>4.05</v>
      </c>
      <c r="J39" s="999">
        <v>4.59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39730</v>
      </c>
      <c r="D40" s="999">
        <v>6.12</v>
      </c>
      <c r="E40" s="999">
        <v>6.93</v>
      </c>
      <c r="F40" s="999">
        <v>7.02</v>
      </c>
      <c r="G40" s="999">
        <v>7.29</v>
      </c>
      <c r="H40" s="999">
        <v>7.47</v>
      </c>
      <c r="I40" s="999">
        <v>4.32</v>
      </c>
      <c r="J40" s="999">
        <v>4.8600000000000003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39707</v>
      </c>
      <c r="D41" s="999">
        <v>6.21</v>
      </c>
      <c r="E41" s="999">
        <v>7.2</v>
      </c>
      <c r="F41" s="999">
        <v>7.29</v>
      </c>
      <c r="G41" s="999">
        <v>7.56</v>
      </c>
      <c r="H41" s="999">
        <v>7.74</v>
      </c>
      <c r="I41" s="999">
        <v>4.59</v>
      </c>
      <c r="J41" s="999">
        <v>5.13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39437</v>
      </c>
      <c r="D42" s="999">
        <v>6.57</v>
      </c>
      <c r="E42" s="999">
        <v>7.47</v>
      </c>
      <c r="F42" s="999">
        <v>7.56</v>
      </c>
      <c r="G42" s="999">
        <v>7.74</v>
      </c>
      <c r="H42" s="999">
        <v>7.83</v>
      </c>
      <c r="I42" s="999">
        <v>4.7699999999999996</v>
      </c>
      <c r="J42" s="999">
        <v>5.22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39340</v>
      </c>
      <c r="D43" s="999">
        <v>6.48</v>
      </c>
      <c r="E43" s="999">
        <v>7.29</v>
      </c>
      <c r="F43" s="999">
        <v>7.47</v>
      </c>
      <c r="G43" s="999">
        <v>7.65</v>
      </c>
      <c r="H43" s="999">
        <v>7.83</v>
      </c>
      <c r="I43" s="999">
        <v>4.7699999999999996</v>
      </c>
      <c r="J43" s="999">
        <v>5.22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1529</v>
      </c>
      <c r="Y43" s="999" t="s">
        <v>1529</v>
      </c>
      <c r="Z43" s="999" t="s">
        <v>1529</v>
      </c>
    </row>
    <row r="44" spans="2:26">
      <c r="B44" s="999"/>
      <c r="C44" s="1000">
        <v>39316</v>
      </c>
      <c r="D44" s="999">
        <v>6.21</v>
      </c>
      <c r="E44" s="999">
        <v>7.02</v>
      </c>
      <c r="F44" s="999">
        <v>7.2</v>
      </c>
      <c r="G44" s="999">
        <v>7.38</v>
      </c>
      <c r="H44" s="999">
        <v>7.56</v>
      </c>
      <c r="I44" s="999">
        <v>4.59</v>
      </c>
      <c r="J44" s="999">
        <v>5.04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1529</v>
      </c>
      <c r="Y44" s="999" t="s">
        <v>1529</v>
      </c>
      <c r="Z44" s="999" t="s">
        <v>1529</v>
      </c>
    </row>
    <row r="45" spans="2:26">
      <c r="B45" s="999"/>
      <c r="C45" s="1000">
        <v>39284</v>
      </c>
      <c r="D45" s="999">
        <v>6.03</v>
      </c>
      <c r="E45" s="999">
        <v>6.84</v>
      </c>
      <c r="F45" s="999">
        <v>7.02</v>
      </c>
      <c r="G45" s="999">
        <v>7.2</v>
      </c>
      <c r="H45" s="999">
        <v>7.38</v>
      </c>
      <c r="I45" s="999">
        <v>4.5</v>
      </c>
      <c r="J45" s="999">
        <v>4.95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1529</v>
      </c>
      <c r="Y45" s="999" t="s">
        <v>1529</v>
      </c>
      <c r="Z45" s="999" t="s">
        <v>1529</v>
      </c>
    </row>
    <row r="46" spans="2:26">
      <c r="B46" s="999"/>
      <c r="C46" s="1000">
        <v>39221</v>
      </c>
      <c r="D46" s="999">
        <v>5.85</v>
      </c>
      <c r="E46" s="999">
        <v>6.57</v>
      </c>
      <c r="F46" s="999">
        <v>6.75</v>
      </c>
      <c r="G46" s="999">
        <v>6.93</v>
      </c>
      <c r="H46" s="999">
        <v>7.2</v>
      </c>
      <c r="I46" s="999">
        <v>4.41</v>
      </c>
      <c r="J46" s="999">
        <v>4.8600000000000003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1529</v>
      </c>
      <c r="Y46" s="999" t="s">
        <v>1529</v>
      </c>
      <c r="Z46" s="999" t="s">
        <v>1529</v>
      </c>
    </row>
    <row r="47" spans="2:26">
      <c r="B47" s="999"/>
      <c r="C47" s="1000">
        <v>39159</v>
      </c>
      <c r="D47" s="999">
        <v>5.67</v>
      </c>
      <c r="E47" s="999">
        <v>6.39</v>
      </c>
      <c r="F47" s="999">
        <v>6.57</v>
      </c>
      <c r="G47" s="999">
        <v>6.75</v>
      </c>
      <c r="H47" s="999">
        <v>7.11</v>
      </c>
      <c r="I47" s="999">
        <v>4.32</v>
      </c>
      <c r="J47" s="999">
        <v>4.7699999999999996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1529</v>
      </c>
      <c r="Y47" s="999" t="s">
        <v>1529</v>
      </c>
      <c r="Z47" s="999" t="s">
        <v>1529</v>
      </c>
    </row>
    <row r="48" spans="2:26">
      <c r="B48" s="999"/>
      <c r="C48" s="1000">
        <v>38948</v>
      </c>
      <c r="D48" s="999">
        <v>5.58</v>
      </c>
      <c r="E48" s="999">
        <v>6.12</v>
      </c>
      <c r="F48" s="999">
        <v>6.3</v>
      </c>
      <c r="G48" s="999">
        <v>6.48</v>
      </c>
      <c r="H48" s="999">
        <v>6.84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1529</v>
      </c>
      <c r="Y48" s="999" t="s">
        <v>1529</v>
      </c>
      <c r="Z48" s="999" t="s">
        <v>1529</v>
      </c>
    </row>
    <row r="49" spans="2:26">
      <c r="B49" s="999"/>
      <c r="C49" s="1000">
        <v>38835</v>
      </c>
      <c r="D49" s="999">
        <v>5.4</v>
      </c>
      <c r="E49" s="999">
        <v>5.85</v>
      </c>
      <c r="F49" s="999">
        <v>6.03</v>
      </c>
      <c r="G49" s="999">
        <v>6.12</v>
      </c>
      <c r="H49" s="999">
        <v>6.39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1529</v>
      </c>
      <c r="Y49" s="999" t="s">
        <v>1529</v>
      </c>
      <c r="Z49" s="999" t="s">
        <v>1529</v>
      </c>
    </row>
    <row r="50" spans="2:26">
      <c r="B50" s="999"/>
      <c r="C50" s="1000">
        <v>38428</v>
      </c>
      <c r="D50" s="999">
        <v>5.22</v>
      </c>
      <c r="E50" s="999">
        <v>5.58</v>
      </c>
      <c r="F50" s="999">
        <v>5.76</v>
      </c>
      <c r="G50" s="999">
        <v>5.85</v>
      </c>
      <c r="H50" s="999">
        <v>6.12</v>
      </c>
      <c r="I50" s="999">
        <v>3.96</v>
      </c>
      <c r="J50" s="999">
        <v>4.41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1529</v>
      </c>
      <c r="Y50" s="999" t="s">
        <v>1529</v>
      </c>
      <c r="Z50" s="999" t="s">
        <v>1529</v>
      </c>
    </row>
    <row r="51" spans="2:26">
      <c r="B51" s="999"/>
      <c r="C51" s="1000">
        <v>38289</v>
      </c>
      <c r="D51" s="999">
        <v>5.22</v>
      </c>
      <c r="E51" s="999">
        <v>5.58</v>
      </c>
      <c r="F51" s="999">
        <v>5.76</v>
      </c>
      <c r="G51" s="999">
        <v>5.85</v>
      </c>
      <c r="H51" s="999">
        <v>6.12</v>
      </c>
      <c r="I51" s="999">
        <v>3.78</v>
      </c>
      <c r="J51" s="999">
        <v>4.2300000000000004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1529</v>
      </c>
      <c r="Y51" s="999" t="s">
        <v>1529</v>
      </c>
      <c r="Z51" s="999" t="s">
        <v>1529</v>
      </c>
    </row>
    <row r="52" spans="2:26">
      <c r="B52" s="999"/>
      <c r="C52" s="1000">
        <v>37308</v>
      </c>
      <c r="D52" s="999">
        <v>5.04</v>
      </c>
      <c r="E52" s="999">
        <v>5.31</v>
      </c>
      <c r="F52" s="999">
        <v>5.49</v>
      </c>
      <c r="G52" s="999">
        <v>5.58</v>
      </c>
      <c r="H52" s="999">
        <v>5.76</v>
      </c>
      <c r="I52" s="999">
        <v>3.6</v>
      </c>
      <c r="J52" s="999">
        <v>4.05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1529</v>
      </c>
      <c r="V52" s="999" t="s">
        <v>1529</v>
      </c>
      <c r="W52" s="999" t="s">
        <v>1529</v>
      </c>
      <c r="X52" s="999" t="s">
        <v>1529</v>
      </c>
      <c r="Y52" s="999" t="s">
        <v>1529</v>
      </c>
      <c r="Z52" s="999" t="s">
        <v>1529</v>
      </c>
    </row>
    <row r="53" spans="2:26">
      <c r="B53" s="999"/>
      <c r="C53" s="1000">
        <v>36321</v>
      </c>
      <c r="D53" s="999">
        <v>5.58</v>
      </c>
      <c r="E53" s="999">
        <v>5.85</v>
      </c>
      <c r="F53" s="999">
        <v>5.94</v>
      </c>
      <c r="G53" s="999">
        <v>6.03</v>
      </c>
      <c r="H53" s="999">
        <v>6.21</v>
      </c>
      <c r="I53" s="999">
        <v>4.1399999999999997</v>
      </c>
      <c r="J53" s="999">
        <v>4.59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36136</v>
      </c>
      <c r="D54" s="999">
        <v>6.12</v>
      </c>
      <c r="E54" s="999">
        <v>6.39</v>
      </c>
      <c r="F54" s="999">
        <v>6.66</v>
      </c>
      <c r="G54" s="999">
        <v>7.2</v>
      </c>
      <c r="H54" s="999">
        <v>7.56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35977</v>
      </c>
      <c r="D55" s="999">
        <v>6.57</v>
      </c>
      <c r="E55" s="999">
        <v>6.93</v>
      </c>
      <c r="F55" s="999">
        <v>7.11</v>
      </c>
      <c r="G55" s="999">
        <v>7.65</v>
      </c>
      <c r="H55" s="999">
        <v>8.01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35879</v>
      </c>
      <c r="D56" s="999">
        <v>7.02</v>
      </c>
      <c r="E56" s="999">
        <v>7.92</v>
      </c>
      <c r="F56" s="999">
        <v>9</v>
      </c>
      <c r="G56" s="999">
        <v>9.7200000000000006</v>
      </c>
      <c r="H56" s="999">
        <v>10.35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35726</v>
      </c>
      <c r="D57" s="999">
        <v>7.65</v>
      </c>
      <c r="E57" s="999">
        <v>8.64</v>
      </c>
      <c r="F57" s="999">
        <v>9.36</v>
      </c>
      <c r="G57" s="999">
        <v>9.9</v>
      </c>
      <c r="H57" s="999">
        <v>10.53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35300</v>
      </c>
      <c r="D58" s="999">
        <v>9.18</v>
      </c>
      <c r="E58" s="999">
        <v>10.08</v>
      </c>
      <c r="F58" s="999">
        <v>10.98</v>
      </c>
      <c r="G58" s="999">
        <v>11.7</v>
      </c>
      <c r="H58" s="999">
        <v>12.42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35186</v>
      </c>
      <c r="D59" s="999">
        <v>9.7200000000000006</v>
      </c>
      <c r="E59" s="999">
        <v>10.98</v>
      </c>
      <c r="F59" s="999">
        <v>13.14</v>
      </c>
      <c r="G59" s="999">
        <v>14.94</v>
      </c>
      <c r="H59" s="999">
        <v>15.12</v>
      </c>
      <c r="I59" s="999">
        <v>0</v>
      </c>
      <c r="J59" s="999">
        <v>0</v>
      </c>
    </row>
    <row r="60" spans="2:26">
      <c r="B60" s="999"/>
      <c r="C60" s="1000">
        <v>34881</v>
      </c>
      <c r="D60" s="999">
        <v>10.08</v>
      </c>
      <c r="E60" s="999">
        <v>12.06</v>
      </c>
      <c r="F60" s="999">
        <v>13.5</v>
      </c>
      <c r="G60" s="999">
        <v>15.12</v>
      </c>
      <c r="H60" s="999">
        <v>15.3</v>
      </c>
      <c r="I60" s="999">
        <v>0</v>
      </c>
      <c r="J60" s="999">
        <v>0</v>
      </c>
    </row>
    <row r="61" spans="2:26">
      <c r="B61" s="999"/>
      <c r="C61" s="1000">
        <v>34700</v>
      </c>
      <c r="D61" s="999">
        <v>9</v>
      </c>
      <c r="E61" s="999">
        <v>10.98</v>
      </c>
      <c r="F61" s="999">
        <v>12.96</v>
      </c>
      <c r="G61" s="999">
        <v>14.58</v>
      </c>
      <c r="H61" s="999">
        <v>14.76</v>
      </c>
      <c r="I61" s="999">
        <v>0</v>
      </c>
      <c r="J61" s="999">
        <v>0</v>
      </c>
    </row>
    <row r="62" spans="2:26">
      <c r="B62" s="999"/>
      <c r="C62" s="1000">
        <v>34161</v>
      </c>
      <c r="D62" s="999">
        <v>9</v>
      </c>
      <c r="E62" s="999">
        <v>10.98</v>
      </c>
      <c r="F62" s="999">
        <v>12.24</v>
      </c>
      <c r="G62" s="999">
        <v>13.86</v>
      </c>
      <c r="H62" s="999">
        <v>14.04</v>
      </c>
      <c r="I62" s="999">
        <v>0</v>
      </c>
      <c r="J62" s="999">
        <v>0</v>
      </c>
    </row>
    <row r="63" spans="2:26">
      <c r="B63" s="999"/>
      <c r="C63" s="1000">
        <v>34104</v>
      </c>
      <c r="D63" s="999">
        <v>8.82</v>
      </c>
      <c r="E63" s="999">
        <v>9.36</v>
      </c>
      <c r="F63" s="999">
        <v>10.8</v>
      </c>
      <c r="G63" s="999">
        <v>12.06</v>
      </c>
      <c r="H63" s="999">
        <v>12.24</v>
      </c>
      <c r="I63" s="999">
        <v>0</v>
      </c>
      <c r="J63" s="999">
        <v>0</v>
      </c>
    </row>
    <row r="64" spans="2:26">
      <c r="B64" s="999"/>
      <c r="C64" s="1000">
        <v>33349</v>
      </c>
      <c r="D64" s="999">
        <v>8.1</v>
      </c>
      <c r="E64" s="999">
        <v>8.64</v>
      </c>
      <c r="F64" s="999">
        <v>9</v>
      </c>
      <c r="G64" s="999">
        <v>9.5399999999999991</v>
      </c>
      <c r="H64" s="999">
        <v>9.7200000000000006</v>
      </c>
      <c r="I64" s="999">
        <v>0</v>
      </c>
      <c r="J64" s="999">
        <v>0</v>
      </c>
    </row>
    <row r="65" spans="2:10">
      <c r="B65" s="999"/>
      <c r="C65" s="1000">
        <v>33318</v>
      </c>
      <c r="D65" s="999">
        <v>9</v>
      </c>
      <c r="E65" s="999">
        <v>10.08</v>
      </c>
      <c r="F65" s="999">
        <v>10.8</v>
      </c>
      <c r="G65" s="999">
        <v>11.52</v>
      </c>
      <c r="H65" s="999">
        <v>11.88</v>
      </c>
      <c r="I65" s="999" t="s">
        <v>1529</v>
      </c>
      <c r="J65" s="999" t="s">
        <v>1529</v>
      </c>
    </row>
    <row r="66" spans="2:10">
      <c r="B66" s="999"/>
      <c r="C66" s="1000">
        <v>33106</v>
      </c>
      <c r="D66" s="999">
        <v>8.64</v>
      </c>
      <c r="E66" s="999">
        <v>9.36</v>
      </c>
      <c r="F66" s="999">
        <v>10.08</v>
      </c>
      <c r="G66" s="999">
        <v>10.8</v>
      </c>
      <c r="H66" s="999">
        <v>11.16</v>
      </c>
      <c r="I66" s="999">
        <v>0</v>
      </c>
      <c r="J66" s="999">
        <v>0</v>
      </c>
    </row>
    <row r="67" spans="2:10">
      <c r="B67" s="999"/>
      <c r="C67" s="1000">
        <v>32540</v>
      </c>
      <c r="D67" s="999">
        <v>11.34</v>
      </c>
      <c r="E67" s="999">
        <v>11.34</v>
      </c>
      <c r="F67" s="999">
        <v>12.78</v>
      </c>
      <c r="G67" s="999">
        <v>14.4</v>
      </c>
      <c r="H67" s="999">
        <v>19.260000000000002</v>
      </c>
      <c r="I67" s="999">
        <v>0</v>
      </c>
      <c r="J67" s="999">
        <v>0</v>
      </c>
    </row>
    <row r="68" spans="2:10">
      <c r="B68" s="999"/>
      <c r="C68" s="1000"/>
      <c r="D68" s="999"/>
      <c r="E68" s="999"/>
      <c r="F68" s="999"/>
      <c r="G68" s="999"/>
      <c r="H68" s="999"/>
      <c r="I68" s="999"/>
      <c r="J68" s="999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1002"/>
      <c r="C70" s="1003"/>
      <c r="D70" s="1002"/>
      <c r="E70" s="1002"/>
      <c r="F70" s="1002"/>
      <c r="G70" s="1002"/>
      <c r="H70" s="1002"/>
      <c r="I70" s="1002"/>
      <c r="J70" s="1002"/>
    </row>
    <row r="71" spans="2:10">
      <c r="B71" s="1002"/>
      <c r="C71" s="1003"/>
      <c r="D71" s="1002"/>
      <c r="E71" s="1002"/>
      <c r="F71" s="1002"/>
      <c r="G71" s="1002"/>
      <c r="H71" s="1002"/>
      <c r="I71" s="1002"/>
      <c r="J71" s="1002"/>
    </row>
    <row r="72" spans="2:10">
      <c r="B72" s="972"/>
      <c r="C72" s="972"/>
      <c r="D72" s="972"/>
      <c r="E72" s="972"/>
      <c r="F72" s="972"/>
      <c r="G72" s="972"/>
      <c r="H72" s="972"/>
      <c r="I72" s="972"/>
      <c r="J72" s="972"/>
    </row>
    <row r="73" spans="2:10">
      <c r="B73" s="972"/>
      <c r="C73" s="972"/>
      <c r="D73" s="972"/>
      <c r="E73" s="972"/>
      <c r="F73" s="972"/>
      <c r="G73" s="972"/>
      <c r="H73" s="972"/>
      <c r="I73" s="972"/>
      <c r="J73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topLeftCell="A37" zoomScale="80" zoomScaleNormal="80" workbookViewId="0">
      <selection activeCell="I7" sqref="I7:L7"/>
    </sheetView>
  </sheetViews>
  <sheetFormatPr defaultColWidth="8.88671875" defaultRowHeight="13.2"/>
  <cols>
    <col min="1" max="6" width="8.88671875" style="1623"/>
    <col min="7" max="7" width="8.88671875" style="1647"/>
    <col min="8" max="8" width="8.88671875" style="1623"/>
    <col min="9" max="12" width="9" style="1623" customWidth="1"/>
    <col min="13" max="13" width="2.21875" style="1623" customWidth="1"/>
    <col min="14" max="14" width="9" style="1647" customWidth="1"/>
    <col min="15" max="17" width="9" style="1623" customWidth="1"/>
    <col min="18" max="18" width="2.33203125" style="1623" customWidth="1"/>
    <col min="19" max="19" width="7.109375" style="1647" customWidth="1"/>
    <col min="20" max="22" width="7.109375" style="1623" customWidth="1"/>
    <col min="23" max="23" width="2.44140625" style="1623" customWidth="1"/>
    <col min="24" max="16384" width="8.88671875" style="1623"/>
  </cols>
  <sheetData>
    <row r="1" spans="1:32" s="1586" customFormat="1">
      <c r="A1" s="1585" t="s">
        <v>1700</v>
      </c>
      <c r="C1" s="1587"/>
      <c r="D1" s="1587"/>
      <c r="F1" s="1587"/>
    </row>
    <row r="2" spans="1:32" s="1586" customFormat="1" ht="13.8" thickBot="1">
      <c r="B2" s="1587" t="s">
        <v>1635</v>
      </c>
      <c r="C2" s="1587"/>
      <c r="D2" s="1587"/>
      <c r="F2" s="1587"/>
      <c r="G2" s="1898" t="s">
        <v>1636</v>
      </c>
      <c r="H2" s="1898"/>
      <c r="I2" s="1898"/>
      <c r="J2" s="1898"/>
      <c r="K2" s="1898"/>
      <c r="L2" s="1898"/>
      <c r="N2" s="1893" t="s">
        <v>1637</v>
      </c>
      <c r="O2" s="1893"/>
      <c r="P2" s="1893"/>
      <c r="Q2" s="1893"/>
      <c r="S2" s="1893" t="s">
        <v>1638</v>
      </c>
      <c r="T2" s="1893"/>
      <c r="U2" s="1893"/>
      <c r="V2" s="1893"/>
    </row>
    <row r="3" spans="1:32" s="1586" customFormat="1" ht="14.4">
      <c r="B3" s="1588" t="s">
        <v>1694</v>
      </c>
      <c r="C3" s="1588" t="s">
        <v>41</v>
      </c>
      <c r="D3" s="1589" t="s">
        <v>1297</v>
      </c>
      <c r="E3" s="1589" t="s">
        <v>1298</v>
      </c>
      <c r="F3" s="1588" t="s">
        <v>49</v>
      </c>
      <c r="G3" s="1590" t="s">
        <v>1740</v>
      </c>
      <c r="H3" s="1590" t="s">
        <v>1741</v>
      </c>
      <c r="I3" s="1591" t="s">
        <v>1694</v>
      </c>
      <c r="J3" s="1591" t="s">
        <v>1699</v>
      </c>
      <c r="K3" s="1589" t="s">
        <v>1298</v>
      </c>
      <c r="L3" s="1591" t="s">
        <v>49</v>
      </c>
      <c r="N3" s="1591" t="s">
        <v>1694</v>
      </c>
      <c r="O3" s="1591" t="s">
        <v>1699</v>
      </c>
      <c r="P3" s="1589" t="s">
        <v>1298</v>
      </c>
      <c r="Q3" s="1591" t="s">
        <v>49</v>
      </c>
      <c r="S3" s="1591" t="s">
        <v>1694</v>
      </c>
      <c r="T3" s="1591" t="s">
        <v>1699</v>
      </c>
      <c r="U3" s="1589" t="s">
        <v>1298</v>
      </c>
      <c r="V3" s="1591" t="s">
        <v>49</v>
      </c>
    </row>
    <row r="4" spans="1:32" s="1597" customFormat="1" ht="14.4">
      <c r="A4" s="1592" t="s">
        <v>1743</v>
      </c>
      <c r="B4" s="1593"/>
      <c r="C4" s="1593"/>
      <c r="D4" s="1594"/>
      <c r="E4" s="1594"/>
      <c r="F4" s="1593"/>
      <c r="G4" s="1595"/>
      <c r="H4" s="1595"/>
      <c r="I4" s="1596">
        <f>ROUND(AVERAGE($I5:$I38),2)</f>
        <v>1.64</v>
      </c>
      <c r="J4" s="1596">
        <f>ROUND(AVERAGE($J5:$J38),2)</f>
        <v>1.03</v>
      </c>
      <c r="K4" s="1596">
        <f>ROUND(AVERAGE($K5:$K38),2)</f>
        <v>1.81</v>
      </c>
      <c r="L4" s="1596">
        <f>ROUND(AVERAGE($L5:$L38),2)</f>
        <v>1.2</v>
      </c>
      <c r="N4" s="1598"/>
      <c r="O4" s="1598"/>
      <c r="P4" s="1594"/>
      <c r="Q4" s="1598"/>
      <c r="S4" s="1598"/>
      <c r="T4" s="1598"/>
      <c r="U4" s="1594"/>
      <c r="V4" s="1598"/>
      <c r="X4" s="1599"/>
    </row>
    <row r="5" spans="1:32" s="1600" customFormat="1" ht="14.4">
      <c r="B5" s="1601"/>
      <c r="C5" s="1601"/>
      <c r="D5" s="1602"/>
      <c r="E5" s="1602"/>
      <c r="F5" s="1601"/>
      <c r="G5" s="1603"/>
      <c r="H5" s="1603"/>
      <c r="I5" s="1604"/>
      <c r="J5" s="1604"/>
      <c r="K5" s="1605"/>
      <c r="L5" s="1604"/>
      <c r="N5" s="1606"/>
      <c r="O5" s="1606"/>
      <c r="P5" s="1602"/>
      <c r="Q5" s="1606"/>
      <c r="S5" s="1606"/>
      <c r="T5" s="1606"/>
      <c r="U5" s="1602"/>
      <c r="V5" s="1606"/>
      <c r="X5" s="1607"/>
    </row>
    <row r="6" spans="1:32" s="1614" customFormat="1" ht="13.8" thickBot="1">
      <c r="A6" s="1608" t="s">
        <v>1790</v>
      </c>
      <c r="B6" s="1609">
        <f t="shared" ref="B6" si="0">B7*(1+N6)</f>
        <v>510.07089659554606</v>
      </c>
      <c r="C6" s="1609">
        <f t="shared" ref="C6" si="1">C7*(1+O6)</f>
        <v>352.55593185737411</v>
      </c>
      <c r="D6" s="1609">
        <f t="shared" ref="D6" si="2">C6</f>
        <v>352.55593185737411</v>
      </c>
      <c r="E6" s="1609">
        <f t="shared" ref="E6" si="3">E7*(1+P6)</f>
        <v>737.27992463403655</v>
      </c>
      <c r="F6" s="1609">
        <f t="shared" ref="F6" si="4">F7*(1+Q6)</f>
        <v>335.88319198297864</v>
      </c>
      <c r="G6" s="1610">
        <v>2022</v>
      </c>
      <c r="H6" s="1611">
        <v>1</v>
      </c>
      <c r="I6" s="1612">
        <v>0</v>
      </c>
      <c r="J6" s="1612">
        <v>0</v>
      </c>
      <c r="K6" s="1612">
        <v>0</v>
      </c>
      <c r="L6" s="1613">
        <v>0</v>
      </c>
      <c r="N6" s="1615">
        <f t="shared" ref="N6" si="5">I6/100</f>
        <v>0</v>
      </c>
      <c r="O6" s="1616">
        <f t="shared" ref="O6" si="6">J6/100</f>
        <v>0</v>
      </c>
      <c r="P6" s="1616">
        <f t="shared" ref="P6" si="7">K6/100</f>
        <v>0</v>
      </c>
      <c r="Q6" s="1616">
        <f t="shared" ref="Q6" si="8">L6/100</f>
        <v>0</v>
      </c>
      <c r="S6" s="1749">
        <f>B6/B7-1</f>
        <v>0</v>
      </c>
      <c r="T6" s="1750">
        <f>C6/C7-1</f>
        <v>0</v>
      </c>
      <c r="U6" s="1750">
        <f>E6/E7-1</f>
        <v>0</v>
      </c>
      <c r="V6" s="1750">
        <f>F6/F7-1</f>
        <v>0</v>
      </c>
      <c r="X6" s="1617" t="s">
        <v>1744</v>
      </c>
      <c r="Y6" s="1618"/>
      <c r="Z6" s="1618"/>
      <c r="AA6" s="1618"/>
    </row>
    <row r="7" spans="1:32">
      <c r="A7" s="1619" t="s">
        <v>1789</v>
      </c>
      <c r="B7" s="1632">
        <f t="shared" ref="B7" si="9">B8*(1+N7)</f>
        <v>510.07089659554606</v>
      </c>
      <c r="C7" s="1632">
        <f t="shared" ref="C7" si="10">C8*(1+O7)</f>
        <v>352.55593185737411</v>
      </c>
      <c r="D7" s="1632">
        <f t="shared" ref="D7" si="11">C7</f>
        <v>352.55593185737411</v>
      </c>
      <c r="E7" s="1632">
        <f t="shared" ref="E7" si="12">E8*(1+P7)</f>
        <v>737.27992463403655</v>
      </c>
      <c r="F7" s="1633">
        <f t="shared" ref="F7" si="13">F8*(1+Q7)</f>
        <v>335.88319198297864</v>
      </c>
      <c r="G7" s="1765">
        <v>2021</v>
      </c>
      <c r="H7" s="1622">
        <v>4</v>
      </c>
      <c r="I7" s="1762">
        <v>1.03</v>
      </c>
      <c r="J7" s="1762">
        <v>0.24</v>
      </c>
      <c r="K7" s="1762">
        <v>1.17</v>
      </c>
      <c r="L7" s="1763">
        <v>0.55000000000000004</v>
      </c>
      <c r="N7" s="1624">
        <f t="shared" ref="N7" si="14">I7/100</f>
        <v>1.03E-2</v>
      </c>
      <c r="O7" s="1625">
        <f t="shared" ref="O7" si="15">J7/100</f>
        <v>2.3999999999999998E-3</v>
      </c>
      <c r="P7" s="1625">
        <f t="shared" ref="P7" si="16">K7/100</f>
        <v>1.1699999999999999E-2</v>
      </c>
      <c r="Q7" s="1625">
        <f t="shared" ref="Q7" si="17">L7/100</f>
        <v>5.5000000000000005E-3</v>
      </c>
      <c r="R7" s="1626"/>
      <c r="S7" s="1627"/>
      <c r="T7" s="1628"/>
      <c r="U7" s="1628"/>
      <c r="V7" s="1628"/>
      <c r="AC7" s="1629"/>
      <c r="AD7" s="1629"/>
      <c r="AE7" s="1629"/>
      <c r="AF7" s="1629"/>
    </row>
    <row r="8" spans="1:32">
      <c r="A8" s="1619" t="s">
        <v>1788</v>
      </c>
      <c r="B8" s="1620">
        <f t="shared" ref="B8" si="18">B9*(1+N8)</f>
        <v>504.87072809615569</v>
      </c>
      <c r="C8" s="1620">
        <f t="shared" ref="C8" si="19">C9*(1+O8)</f>
        <v>351.71182348101968</v>
      </c>
      <c r="D8" s="1620">
        <f t="shared" ref="D8" si="20">C8</f>
        <v>351.71182348101968</v>
      </c>
      <c r="E8" s="1620">
        <f t="shared" ref="E8" si="21">E9*(1+P8)</f>
        <v>728.75350858360832</v>
      </c>
      <c r="F8" s="1620">
        <f t="shared" ref="F8" si="22">F9*(1+Q8)</f>
        <v>334.04593931673656</v>
      </c>
      <c r="G8" s="1764">
        <v>2021</v>
      </c>
      <c r="H8" s="1622">
        <v>3</v>
      </c>
      <c r="I8" s="1762">
        <v>0.47</v>
      </c>
      <c r="J8" s="1762">
        <v>0.41</v>
      </c>
      <c r="K8" s="1762">
        <v>0.48</v>
      </c>
      <c r="L8" s="1763">
        <v>0.48</v>
      </c>
      <c r="N8" s="1624">
        <f t="shared" ref="N8" si="23">I8/100</f>
        <v>4.6999999999999993E-3</v>
      </c>
      <c r="O8" s="1625">
        <f t="shared" ref="O8" si="24">J8/100</f>
        <v>4.0999999999999995E-3</v>
      </c>
      <c r="P8" s="1625">
        <f t="shared" ref="P8" si="25">K8/100</f>
        <v>4.7999999999999996E-3</v>
      </c>
      <c r="Q8" s="1625">
        <f t="shared" ref="Q8" si="26">L8/100</f>
        <v>4.7999999999999996E-3</v>
      </c>
      <c r="R8" s="1626"/>
      <c r="S8" s="1627"/>
      <c r="T8" s="1628"/>
      <c r="U8" s="1628"/>
      <c r="V8" s="1628"/>
      <c r="AC8" s="1629"/>
      <c r="AD8" s="1629"/>
      <c r="AE8" s="1629"/>
      <c r="AF8" s="1629"/>
    </row>
    <row r="9" spans="1:32">
      <c r="A9" s="1619" t="s">
        <v>1787</v>
      </c>
      <c r="B9" s="1620">
        <f t="shared" ref="B9" si="27">B10*(1+N9)</f>
        <v>502.50893609650217</v>
      </c>
      <c r="C9" s="1620">
        <f t="shared" ref="C9" si="28">C10*(1+O9)</f>
        <v>350.27569313914915</v>
      </c>
      <c r="D9" s="1620">
        <f t="shared" ref="D9" si="29">C9</f>
        <v>350.27569313914915</v>
      </c>
      <c r="E9" s="1620">
        <f t="shared" ref="E9" si="30">E10*(1+P9)</f>
        <v>725.27220201394141</v>
      </c>
      <c r="F9" s="1620">
        <f t="shared" ref="F9" si="31">F10*(1+Q9)</f>
        <v>332.45017846012797</v>
      </c>
      <c r="G9" s="1761">
        <v>2021</v>
      </c>
      <c r="H9" s="1622">
        <v>2</v>
      </c>
      <c r="I9" s="1762">
        <v>0.92</v>
      </c>
      <c r="J9" s="1762">
        <v>0.72</v>
      </c>
      <c r="K9" s="1762">
        <v>0.95</v>
      </c>
      <c r="L9" s="1763">
        <v>1.01</v>
      </c>
      <c r="N9" s="1624">
        <f t="shared" ref="N9" si="32">I9/100</f>
        <v>9.1999999999999998E-3</v>
      </c>
      <c r="O9" s="1625">
        <f t="shared" ref="O9" si="33">J9/100</f>
        <v>7.1999999999999998E-3</v>
      </c>
      <c r="P9" s="1625">
        <f t="shared" ref="P9" si="34">K9/100</f>
        <v>9.4999999999999998E-3</v>
      </c>
      <c r="Q9" s="1625">
        <f t="shared" ref="Q9" si="35">L9/100</f>
        <v>1.01E-2</v>
      </c>
      <c r="R9" s="1626"/>
      <c r="S9" s="1627"/>
      <c r="T9" s="1628"/>
      <c r="U9" s="1628"/>
      <c r="V9" s="1628"/>
      <c r="AC9" s="1629"/>
      <c r="AD9" s="1629"/>
      <c r="AE9" s="1629"/>
      <c r="AF9" s="1629"/>
    </row>
    <row r="10" spans="1:32" ht="13.8" thickBot="1">
      <c r="A10" s="1619" t="s">
        <v>1786</v>
      </c>
      <c r="B10" s="1620">
        <f t="shared" ref="B10" si="36">B11*(1+N10)</f>
        <v>497.92799851020823</v>
      </c>
      <c r="C10" s="1620">
        <f t="shared" ref="C10" si="37">C11*(1+O10)</f>
        <v>347.77173663537445</v>
      </c>
      <c r="D10" s="1620">
        <f t="shared" ref="D10" si="38">C10</f>
        <v>347.77173663537445</v>
      </c>
      <c r="E10" s="1620">
        <f t="shared" ref="E10" si="39">E11*(1+P10)</f>
        <v>718.44695593258189</v>
      </c>
      <c r="F10" s="1620">
        <f t="shared" ref="F10" si="40">F11*(1+Q10)</f>
        <v>329.12600580153247</v>
      </c>
      <c r="G10" s="1751">
        <v>2021</v>
      </c>
      <c r="H10" s="1622">
        <v>1</v>
      </c>
      <c r="I10" s="1762">
        <v>0.97</v>
      </c>
      <c r="J10" s="1762">
        <v>0.16</v>
      </c>
      <c r="K10" s="1762">
        <v>1.1100000000000001</v>
      </c>
      <c r="L10" s="1763">
        <v>0.36</v>
      </c>
      <c r="N10" s="1624">
        <f t="shared" ref="N10" si="41">I10/100</f>
        <v>9.7000000000000003E-3</v>
      </c>
      <c r="O10" s="1625">
        <f t="shared" ref="O10" si="42">J10/100</f>
        <v>1.6000000000000001E-3</v>
      </c>
      <c r="P10" s="1625">
        <f t="shared" ref="P10" si="43">K10/100</f>
        <v>1.11E-2</v>
      </c>
      <c r="Q10" s="1625">
        <f t="shared" ref="Q10" si="44">L10/100</f>
        <v>3.5999999999999999E-3</v>
      </c>
      <c r="R10" s="1626"/>
      <c r="S10" s="1627">
        <f>B10/B11-1</f>
        <v>9.7000000000000419E-3</v>
      </c>
      <c r="T10" s="1628">
        <f>C10/C11-1</f>
        <v>1.6000000000000458E-3</v>
      </c>
      <c r="U10" s="1628">
        <f>E10/E11-1</f>
        <v>1.110000000000011E-2</v>
      </c>
      <c r="V10" s="1628">
        <f>F10/F11-1</f>
        <v>3.6000000000000476E-3</v>
      </c>
      <c r="AC10" s="1629"/>
      <c r="AD10" s="1629"/>
      <c r="AE10" s="1629"/>
      <c r="AF10" s="1629"/>
    </row>
    <row r="11" spans="1:32">
      <c r="A11" s="1619" t="s">
        <v>1784</v>
      </c>
      <c r="B11" s="1632">
        <f t="shared" ref="B11" si="45">B12*(1+N11)</f>
        <v>493.14449689037161</v>
      </c>
      <c r="C11" s="1632">
        <f t="shared" ref="C11" si="46">C12*(1+O11)</f>
        <v>347.21619073020611</v>
      </c>
      <c r="D11" s="1632">
        <f t="shared" ref="D11" si="47">C11</f>
        <v>347.21619073020611</v>
      </c>
      <c r="E11" s="1632">
        <f t="shared" ref="E11" si="48">E12*(1+P11)</f>
        <v>710.55974278763904</v>
      </c>
      <c r="F11" s="1633">
        <f t="shared" ref="F11" si="49">F12*(1+Q11)</f>
        <v>327.94540235306141</v>
      </c>
      <c r="G11" s="1748">
        <v>2020</v>
      </c>
      <c r="H11" s="1622">
        <v>4</v>
      </c>
      <c r="I11" s="1583">
        <v>2.0699999999999998</v>
      </c>
      <c r="J11" s="1583">
        <v>0.37</v>
      </c>
      <c r="K11" s="1583">
        <v>2.35</v>
      </c>
      <c r="L11" s="1584">
        <v>2.69</v>
      </c>
      <c r="N11" s="1624">
        <f t="shared" ref="N11" si="50">I11/100</f>
        <v>2.07E-2</v>
      </c>
      <c r="O11" s="1625">
        <f t="shared" ref="O11" si="51">J11/100</f>
        <v>3.7000000000000002E-3</v>
      </c>
      <c r="P11" s="1625">
        <f t="shared" ref="P11" si="52">K11/100</f>
        <v>2.35E-2</v>
      </c>
      <c r="Q11" s="1625">
        <f t="shared" ref="Q11" si="53">L11/100</f>
        <v>2.69E-2</v>
      </c>
      <c r="R11" s="1626"/>
      <c r="S11" s="1627"/>
      <c r="T11" s="1628"/>
      <c r="U11" s="1628"/>
      <c r="V11" s="1628"/>
      <c r="AC11" s="1629"/>
      <c r="AD11" s="1629"/>
      <c r="AE11" s="1629"/>
      <c r="AF11" s="1629"/>
    </row>
    <row r="12" spans="1:32">
      <c r="A12" s="1619" t="s">
        <v>1783</v>
      </c>
      <c r="B12" s="1620">
        <f t="shared" ref="B12" si="54">B13*(1+N12)</f>
        <v>483.1434279321756</v>
      </c>
      <c r="C12" s="1620">
        <f t="shared" ref="C12" si="55">C13*(1+O12)</f>
        <v>345.93622669144776</v>
      </c>
      <c r="D12" s="1620">
        <f t="shared" ref="D12" si="56">C12</f>
        <v>345.93622669144776</v>
      </c>
      <c r="E12" s="1620">
        <f t="shared" ref="E12" si="57">E13*(1+P12)</f>
        <v>694.24498562544113</v>
      </c>
      <c r="F12" s="1620">
        <f t="shared" ref="F12" si="58">F13*(1+Q12)</f>
        <v>319.35475932716082</v>
      </c>
      <c r="G12" s="1747">
        <v>2020</v>
      </c>
      <c r="H12" s="1622">
        <v>3</v>
      </c>
      <c r="I12" s="1583">
        <v>0.36</v>
      </c>
      <c r="J12" s="1583">
        <v>-0.39</v>
      </c>
      <c r="K12" s="1583">
        <v>0.49</v>
      </c>
      <c r="L12" s="1584">
        <v>7.0000000000000007E-2</v>
      </c>
      <c r="N12" s="1624">
        <f t="shared" ref="N12" si="59">I12/100</f>
        <v>3.5999999999999999E-3</v>
      </c>
      <c r="O12" s="1625">
        <f t="shared" ref="O12" si="60">J12/100</f>
        <v>-3.9000000000000003E-3</v>
      </c>
      <c r="P12" s="1625">
        <f t="shared" ref="P12" si="61">K12/100</f>
        <v>4.8999999999999998E-3</v>
      </c>
      <c r="Q12" s="1625">
        <f t="shared" ref="Q12" si="62">L12/100</f>
        <v>7.000000000000001E-4</v>
      </c>
      <c r="R12" s="1626"/>
      <c r="S12" s="1627"/>
      <c r="T12" s="1628"/>
      <c r="U12" s="1628"/>
      <c r="V12" s="1628"/>
      <c r="AC12" s="1629"/>
      <c r="AD12" s="1629"/>
      <c r="AE12" s="1629"/>
      <c r="AF12" s="1629"/>
    </row>
    <row r="13" spans="1:32">
      <c r="A13" s="1619" t="s">
        <v>1782</v>
      </c>
      <c r="B13" s="1620">
        <f t="shared" ref="B13" si="63">B14*(1+N13)</f>
        <v>481.4103506697644</v>
      </c>
      <c r="C13" s="1620">
        <f t="shared" ref="C13" si="64">C14*(1+O13)</f>
        <v>347.29066026648707</v>
      </c>
      <c r="D13" s="1620">
        <f t="shared" ref="D13" si="65">C13</f>
        <v>347.29066026648707</v>
      </c>
      <c r="E13" s="1620">
        <f t="shared" ref="E13" si="66">E14*(1+P13)</f>
        <v>690.85977273901995</v>
      </c>
      <c r="F13" s="1620">
        <f t="shared" ref="F13" si="67">F14*(1+Q13)</f>
        <v>319.13136737000184</v>
      </c>
      <c r="G13" s="1621">
        <v>2020</v>
      </c>
      <c r="H13" s="1622">
        <v>2</v>
      </c>
      <c r="I13" s="1583">
        <v>0.31</v>
      </c>
      <c r="J13" s="1583">
        <v>-0.78</v>
      </c>
      <c r="K13" s="1583">
        <v>0.5</v>
      </c>
      <c r="L13" s="1584">
        <v>0.47</v>
      </c>
      <c r="N13" s="1624">
        <f t="shared" ref="N13" si="68">I13/100</f>
        <v>3.0999999999999999E-3</v>
      </c>
      <c r="O13" s="1625">
        <f t="shared" ref="O13" si="69">J13/100</f>
        <v>-7.8000000000000005E-3</v>
      </c>
      <c r="P13" s="1625">
        <f t="shared" ref="P13" si="70">K13/100</f>
        <v>5.0000000000000001E-3</v>
      </c>
      <c r="Q13" s="1625">
        <f t="shared" ref="Q13" si="71">L13/100</f>
        <v>4.6999999999999993E-3</v>
      </c>
      <c r="R13" s="1626"/>
      <c r="S13" s="1627"/>
      <c r="T13" s="1628"/>
      <c r="U13" s="1628"/>
      <c r="V13" s="1628"/>
      <c r="AC13" s="1629"/>
      <c r="AD13" s="1629"/>
      <c r="AE13" s="1629"/>
      <c r="AF13" s="1629"/>
    </row>
    <row r="14" spans="1:32" ht="13.8" thickBot="1">
      <c r="A14" s="1619" t="s">
        <v>1781</v>
      </c>
      <c r="B14" s="1620">
        <f t="shared" ref="B14" si="72">B15*(1+N14)</f>
        <v>479.92259063878413</v>
      </c>
      <c r="C14" s="1620">
        <f t="shared" ref="C14" si="73">C15*(1+O14)</f>
        <v>350.02082268341775</v>
      </c>
      <c r="D14" s="1620">
        <f t="shared" ref="D14" si="74">C14</f>
        <v>350.02082268341775</v>
      </c>
      <c r="E14" s="1620">
        <f t="shared" ref="E14" si="75">E15*(1+P14)</f>
        <v>687.42265944181099</v>
      </c>
      <c r="F14" s="1620">
        <f t="shared" ref="F14" si="76">F15*(1+Q14)</f>
        <v>317.63846657708956</v>
      </c>
      <c r="G14" s="1621">
        <v>2020</v>
      </c>
      <c r="H14" s="1622">
        <v>1</v>
      </c>
      <c r="I14" s="1583">
        <v>0.12</v>
      </c>
      <c r="J14" s="1583">
        <v>-0.4</v>
      </c>
      <c r="K14" s="1583">
        <v>0.21</v>
      </c>
      <c r="L14" s="1584">
        <v>0.27</v>
      </c>
      <c r="N14" s="1624">
        <f t="shared" ref="N14" si="77">I14/100</f>
        <v>1.1999999999999999E-3</v>
      </c>
      <c r="O14" s="1625">
        <f t="shared" ref="O14" si="78">J14/100</f>
        <v>-4.0000000000000001E-3</v>
      </c>
      <c r="P14" s="1625">
        <f t="shared" ref="P14" si="79">K14/100</f>
        <v>2.0999999999999999E-3</v>
      </c>
      <c r="Q14" s="1625">
        <f t="shared" ref="Q14" si="80">L14/100</f>
        <v>2.7000000000000001E-3</v>
      </c>
      <c r="R14" s="1626"/>
      <c r="S14" s="1627">
        <f>B14/B15-1</f>
        <v>1.2000000000000899E-3</v>
      </c>
      <c r="T14" s="1628">
        <f>C14/C15-1</f>
        <v>-4.0000000000000036E-3</v>
      </c>
      <c r="U14" s="1628">
        <f>E14/E15-1</f>
        <v>2.0999999999999908E-3</v>
      </c>
      <c r="V14" s="1628">
        <f>F14/F15-1</f>
        <v>2.6999999999999247E-3</v>
      </c>
      <c r="AC14" s="1629"/>
      <c r="AD14" s="1629"/>
      <c r="AE14" s="1629"/>
      <c r="AF14" s="1629"/>
    </row>
    <row r="15" spans="1:32" ht="13.8" thickBot="1">
      <c r="A15" s="1619" t="s">
        <v>1760</v>
      </c>
      <c r="B15" s="1632">
        <f t="shared" ref="B15" si="81">B16*(1+N15)</f>
        <v>479.34737379023579</v>
      </c>
      <c r="C15" s="1632">
        <f t="shared" ref="C15" si="82">C16*(1+O15)</f>
        <v>351.4265287986122</v>
      </c>
      <c r="D15" s="1632">
        <f t="shared" ref="D15" si="83">C15</f>
        <v>351.4265287986122</v>
      </c>
      <c r="E15" s="1632">
        <f t="shared" ref="E15" si="84">E16*(1+P15)</f>
        <v>685.98209703803116</v>
      </c>
      <c r="F15" s="1633">
        <f t="shared" ref="F15" si="85">F16*(1+Q15)</f>
        <v>316.78315206651001</v>
      </c>
      <c r="G15" s="1621">
        <v>2019</v>
      </c>
      <c r="H15" s="1622">
        <v>4</v>
      </c>
      <c r="I15" s="1583">
        <v>0.45</v>
      </c>
      <c r="J15" s="1583">
        <v>-0.12</v>
      </c>
      <c r="K15" s="1583">
        <v>0.54</v>
      </c>
      <c r="L15" s="1630">
        <v>0.48</v>
      </c>
      <c r="N15" s="1624">
        <f t="shared" ref="N15" si="86">I15/100</f>
        <v>4.5000000000000005E-3</v>
      </c>
      <c r="O15" s="1625">
        <f t="shared" ref="O15" si="87">J15/100</f>
        <v>-1.1999999999999999E-3</v>
      </c>
      <c r="P15" s="1625">
        <f t="shared" ref="P15" si="88">K15/100</f>
        <v>5.4000000000000003E-3</v>
      </c>
      <c r="Q15" s="1625">
        <f t="shared" ref="Q15" si="89">L15/100</f>
        <v>4.7999999999999996E-3</v>
      </c>
      <c r="R15" s="1626"/>
      <c r="S15" s="1627"/>
      <c r="T15" s="1628"/>
      <c r="U15" s="1628"/>
      <c r="V15" s="1628"/>
      <c r="AC15" s="1629"/>
      <c r="AD15" s="1629"/>
      <c r="AE15" s="1629"/>
      <c r="AF15" s="1629"/>
    </row>
    <row r="16" spans="1:32" ht="13.8" thickBot="1">
      <c r="A16" s="1619" t="s">
        <v>1759</v>
      </c>
      <c r="B16" s="1620">
        <f t="shared" ref="B16" si="90">B17*(1+N16)</f>
        <v>477.19997390765138</v>
      </c>
      <c r="C16" s="1620">
        <f t="shared" ref="C16" si="91">C17*(1+O16)</f>
        <v>351.84874729536665</v>
      </c>
      <c r="D16" s="1620">
        <f t="shared" ref="D16" si="92">C16</f>
        <v>351.84874729536665</v>
      </c>
      <c r="E16" s="1620">
        <f t="shared" ref="E16" si="93">E17*(1+P16)</f>
        <v>682.29768951465201</v>
      </c>
      <c r="F16" s="1620">
        <f t="shared" ref="F16" si="94">F17*(1+Q16)</f>
        <v>315.26985675409043</v>
      </c>
      <c r="G16" s="1621">
        <v>2019</v>
      </c>
      <c r="H16" s="1622">
        <v>3</v>
      </c>
      <c r="I16" s="1583">
        <v>0.61</v>
      </c>
      <c r="J16" s="1583">
        <v>0.67</v>
      </c>
      <c r="K16" s="1583">
        <v>0.6</v>
      </c>
      <c r="L16" s="1630">
        <v>1.03</v>
      </c>
      <c r="N16" s="1624">
        <f t="shared" ref="N16" si="95">I16/100</f>
        <v>6.0999999999999995E-3</v>
      </c>
      <c r="O16" s="1625">
        <f t="shared" ref="O16" si="96">J16/100</f>
        <v>6.7000000000000002E-3</v>
      </c>
      <c r="P16" s="1625">
        <f t="shared" ref="P16" si="97">K16/100</f>
        <v>6.0000000000000001E-3</v>
      </c>
      <c r="Q16" s="1625">
        <f t="shared" ref="Q16" si="98">L16/100</f>
        <v>1.03E-2</v>
      </c>
      <c r="R16" s="1626"/>
      <c r="S16" s="1627"/>
      <c r="T16" s="1628"/>
      <c r="U16" s="1628"/>
      <c r="V16" s="1628"/>
      <c r="AC16" s="1629"/>
      <c r="AD16" s="1629"/>
      <c r="AE16" s="1629"/>
      <c r="AF16" s="1629"/>
    </row>
    <row r="17" spans="1:32">
      <c r="A17" s="1619" t="s">
        <v>1757</v>
      </c>
      <c r="B17" s="1620">
        <f t="shared" ref="B17" si="99">B18*(1+N17)</f>
        <v>474.30670301923408</v>
      </c>
      <c r="C17" s="1620">
        <f t="shared" ref="C17" si="100">C18*(1+O17)</f>
        <v>349.50705005996491</v>
      </c>
      <c r="D17" s="1620">
        <f t="shared" ref="D17" si="101">C17</f>
        <v>349.50705005996491</v>
      </c>
      <c r="E17" s="1620">
        <f t="shared" ref="E17" si="102">E18*(1+P17)</f>
        <v>678.22831959706957</v>
      </c>
      <c r="F17" s="1620">
        <f t="shared" ref="F17" si="103">F18*(1+Q17)</f>
        <v>312.0556832169558</v>
      </c>
      <c r="G17" s="1621">
        <v>2019</v>
      </c>
      <c r="H17" s="1631">
        <v>2</v>
      </c>
      <c r="I17" s="1631">
        <v>1.53</v>
      </c>
      <c r="J17" s="1631">
        <v>1.01</v>
      </c>
      <c r="K17" s="1631">
        <v>1.62</v>
      </c>
      <c r="L17" s="1630">
        <v>1.25</v>
      </c>
      <c r="N17" s="1624">
        <f t="shared" ref="N17" si="104">I17/100</f>
        <v>1.5300000000000001E-2</v>
      </c>
      <c r="O17" s="1625">
        <f t="shared" ref="O17" si="105">J17/100</f>
        <v>1.01E-2</v>
      </c>
      <c r="P17" s="1625">
        <f t="shared" ref="P17" si="106">K17/100</f>
        <v>1.6200000000000003E-2</v>
      </c>
      <c r="Q17" s="1625">
        <f t="shared" ref="Q17" si="107">L17/100</f>
        <v>1.2500000000000001E-2</v>
      </c>
      <c r="R17" s="1626"/>
      <c r="S17" s="1627"/>
      <c r="T17" s="1628"/>
      <c r="U17" s="1628"/>
      <c r="V17" s="1628"/>
      <c r="AC17" s="1629"/>
      <c r="AD17" s="1629"/>
      <c r="AE17" s="1629"/>
      <c r="AF17" s="1629"/>
    </row>
    <row r="18" spans="1:32" ht="13.8" thickBot="1">
      <c r="A18" s="1619" t="s">
        <v>1758</v>
      </c>
      <c r="B18" s="1620">
        <f t="shared" ref="B18" si="108">B19*(1+N18)</f>
        <v>467.15916775261894</v>
      </c>
      <c r="C18" s="1620">
        <f t="shared" ref="C18" si="109">C19*(1+O18)</f>
        <v>346.01232557169084</v>
      </c>
      <c r="D18" s="1620">
        <f t="shared" ref="D18" si="110">C18</f>
        <v>346.01232557169084</v>
      </c>
      <c r="E18" s="1620">
        <f t="shared" ref="E18" si="111">E19*(1+P18)</f>
        <v>667.41617752122568</v>
      </c>
      <c r="F18" s="1620">
        <f t="shared" ref="F18" si="112">F19*(1+Q18)</f>
        <v>308.20314391798104</v>
      </c>
      <c r="G18" s="1621">
        <v>2019</v>
      </c>
      <c r="H18" s="1622">
        <v>1</v>
      </c>
      <c r="I18" s="1583">
        <v>0.6</v>
      </c>
      <c r="J18" s="1583">
        <v>0.37</v>
      </c>
      <c r="K18" s="1583">
        <v>0.63</v>
      </c>
      <c r="L18" s="1584">
        <v>1.1299999999999999</v>
      </c>
      <c r="N18" s="1624">
        <f t="shared" ref="N18" si="113">I18/100</f>
        <v>6.0000000000000001E-3</v>
      </c>
      <c r="O18" s="1625">
        <f t="shared" ref="O18" si="114">J18/100</f>
        <v>3.7000000000000002E-3</v>
      </c>
      <c r="P18" s="1625">
        <f t="shared" ref="P18" si="115">K18/100</f>
        <v>6.3E-3</v>
      </c>
      <c r="Q18" s="1625">
        <f t="shared" ref="Q18" si="116">L18/100</f>
        <v>1.1299999999999999E-2</v>
      </c>
      <c r="R18" s="1626"/>
      <c r="S18" s="1627">
        <f>B18/B19-1</f>
        <v>6.0000000000000053E-3</v>
      </c>
      <c r="T18" s="1628">
        <f>C18/C19-1</f>
        <v>3.7000000000000366E-3</v>
      </c>
      <c r="U18" s="1628">
        <f>E18/E19-1</f>
        <v>6.2999999999999723E-3</v>
      </c>
      <c r="V18" s="1628">
        <f>F18/F19-1</f>
        <v>1.1300000000000088E-2</v>
      </c>
      <c r="AC18" s="1629"/>
      <c r="AD18" s="1629"/>
      <c r="AE18" s="1629"/>
      <c r="AF18" s="1629"/>
    </row>
    <row r="19" spans="1:32">
      <c r="A19" s="1619" t="s">
        <v>1752</v>
      </c>
      <c r="B19" s="1632">
        <f t="shared" ref="B19" si="117">B20*(1+N19)</f>
        <v>464.37293017158942</v>
      </c>
      <c r="C19" s="1632">
        <f t="shared" ref="C19" si="118">C20*(1+O19)</f>
        <v>344.73679941385956</v>
      </c>
      <c r="D19" s="1632">
        <f t="shared" ref="D19" si="119">C19</f>
        <v>344.73679941385956</v>
      </c>
      <c r="E19" s="1632">
        <f t="shared" ref="E19" si="120">E20*(1+P19)</f>
        <v>663.2377795103107</v>
      </c>
      <c r="F19" s="1633">
        <f t="shared" ref="F19" si="121">F20*(1+Q19)</f>
        <v>304.75936311478398</v>
      </c>
      <c r="G19" s="1891">
        <v>2018</v>
      </c>
      <c r="H19" s="1631">
        <v>4</v>
      </c>
      <c r="I19" s="1631">
        <v>0.96</v>
      </c>
      <c r="J19" s="1631">
        <v>1.03</v>
      </c>
      <c r="K19" s="1631">
        <v>0.92</v>
      </c>
      <c r="L19" s="1630">
        <v>1.29</v>
      </c>
      <c r="N19" s="1624">
        <f t="shared" ref="N19" si="122">I19/100</f>
        <v>9.5999999999999992E-3</v>
      </c>
      <c r="O19" s="1625">
        <f t="shared" ref="O19" si="123">J19/100</f>
        <v>1.03E-2</v>
      </c>
      <c r="P19" s="1625">
        <f t="shared" ref="P19" si="124">K19/100</f>
        <v>9.1999999999999998E-3</v>
      </c>
      <c r="Q19" s="1625">
        <f t="shared" ref="Q19" si="125">L19/100</f>
        <v>1.29E-2</v>
      </c>
      <c r="R19" s="1626"/>
      <c r="S19" s="1634"/>
      <c r="T19" s="1629"/>
      <c r="U19" s="1629"/>
      <c r="V19" s="1629"/>
      <c r="AC19" s="1629"/>
      <c r="AD19" s="1629"/>
      <c r="AE19" s="1629"/>
      <c r="AF19" s="1629"/>
    </row>
    <row r="20" spans="1:32" s="1586" customFormat="1" ht="14.4" customHeight="1">
      <c r="A20" s="1619" t="s">
        <v>1747</v>
      </c>
      <c r="B20" s="1620">
        <f t="shared" ref="B20" si="126">B21*(1+N20)</f>
        <v>459.95733971036987</v>
      </c>
      <c r="C20" s="1620">
        <f t="shared" ref="C20" si="127">C21*(1+O20)</f>
        <v>341.22221064422405</v>
      </c>
      <c r="D20" s="1620">
        <f t="shared" ref="D20" si="128">C20</f>
        <v>341.22221064422405</v>
      </c>
      <c r="E20" s="1620">
        <f t="shared" ref="E20" si="129">E21*(1+P20)</f>
        <v>657.19161663724799</v>
      </c>
      <c r="F20" s="1620">
        <f t="shared" ref="F20" si="130">F21*(1+Q20)</f>
        <v>300.87803644464805</v>
      </c>
      <c r="G20" s="1891"/>
      <c r="H20" s="1622">
        <v>3</v>
      </c>
      <c r="I20" s="1583">
        <v>1.51</v>
      </c>
      <c r="J20" s="1583">
        <v>1.41</v>
      </c>
      <c r="K20" s="1583">
        <v>1.52</v>
      </c>
      <c r="L20" s="1584">
        <v>1.74</v>
      </c>
      <c r="N20" s="1624">
        <f t="shared" ref="N20" si="131">I20/100</f>
        <v>1.5100000000000001E-2</v>
      </c>
      <c r="O20" s="1625">
        <f t="shared" ref="O20" si="132">J20/100</f>
        <v>1.41E-2</v>
      </c>
      <c r="P20" s="1625">
        <f t="shared" ref="P20" si="133">K20/100</f>
        <v>1.52E-2</v>
      </c>
      <c r="Q20" s="1625">
        <f t="shared" ref="Q20" si="134">L20/100</f>
        <v>1.7399999999999999E-2</v>
      </c>
      <c r="S20" s="1627"/>
      <c r="T20" s="1628"/>
      <c r="U20" s="1628"/>
      <c r="V20" s="1628"/>
    </row>
    <row r="21" spans="1:32" s="1586" customFormat="1" ht="14.4" customHeight="1">
      <c r="A21" s="1619" t="s">
        <v>1746</v>
      </c>
      <c r="B21" s="1620">
        <f t="shared" ref="B21:B26" si="135">B22*(1+N21)</f>
        <v>453.11529869999993</v>
      </c>
      <c r="C21" s="1620">
        <f t="shared" ref="C21" si="136">C22*(1+O21)</f>
        <v>336.47787264000004</v>
      </c>
      <c r="D21" s="1620">
        <f t="shared" ref="D21" si="137">C21</f>
        <v>336.47787264000004</v>
      </c>
      <c r="E21" s="1620">
        <f t="shared" ref="E21" si="138">E22*(1+P21)</f>
        <v>647.35186823999993</v>
      </c>
      <c r="F21" s="1620">
        <f t="shared" ref="F21" si="139">F22*(1+Q21)</f>
        <v>295.73229452000004</v>
      </c>
      <c r="G21" s="1891"/>
      <c r="H21" s="1635">
        <v>2</v>
      </c>
      <c r="I21" s="1636">
        <v>1.49</v>
      </c>
      <c r="J21" s="1636">
        <v>0.96</v>
      </c>
      <c r="K21" s="1636">
        <v>1.58</v>
      </c>
      <c r="L21" s="1637">
        <v>2.44</v>
      </c>
      <c r="N21" s="1624">
        <f t="shared" ref="N21" si="140">I21/100</f>
        <v>1.49E-2</v>
      </c>
      <c r="O21" s="1625">
        <f t="shared" ref="O21" si="141">J21/100</f>
        <v>9.5999999999999992E-3</v>
      </c>
      <c r="P21" s="1625">
        <f t="shared" ref="P21" si="142">K21/100</f>
        <v>1.5800000000000002E-2</v>
      </c>
      <c r="Q21" s="1625">
        <f t="shared" ref="Q21" si="143">L21/100</f>
        <v>2.4399999999999998E-2</v>
      </c>
      <c r="S21" s="1627"/>
      <c r="T21" s="1628"/>
      <c r="U21" s="1628"/>
      <c r="V21" s="1628"/>
    </row>
    <row r="22" spans="1:32" s="1586" customFormat="1" ht="15" customHeight="1" thickBot="1">
      <c r="A22" s="1619" t="s">
        <v>1745</v>
      </c>
      <c r="B22" s="1620">
        <f t="shared" si="135"/>
        <v>446.46299999999997</v>
      </c>
      <c r="C22" s="1620">
        <f t="shared" ref="C22" si="144">C23*(1+O22)</f>
        <v>333.27840000000003</v>
      </c>
      <c r="D22" s="1620">
        <f t="shared" ref="D22:D27" si="145">C22</f>
        <v>333.27840000000003</v>
      </c>
      <c r="E22" s="1620">
        <f t="shared" ref="E22" si="146">E23*(1+P22)</f>
        <v>637.28279999999995</v>
      </c>
      <c r="F22" s="1620">
        <f t="shared" ref="F22" si="147">F23*(1+Q22)</f>
        <v>288.68830000000003</v>
      </c>
      <c r="G22" s="1899"/>
      <c r="H22" s="1622">
        <v>1</v>
      </c>
      <c r="I22" s="1583">
        <v>1.7</v>
      </c>
      <c r="J22" s="1583">
        <v>1.92</v>
      </c>
      <c r="K22" s="1583">
        <v>1.64</v>
      </c>
      <c r="L22" s="1584">
        <v>2.0099999999999998</v>
      </c>
      <c r="N22" s="1624">
        <f t="shared" ref="N22" si="148">I22/100</f>
        <v>1.7000000000000001E-2</v>
      </c>
      <c r="O22" s="1625">
        <f t="shared" ref="O22" si="149">J22/100</f>
        <v>1.9199999999999998E-2</v>
      </c>
      <c r="P22" s="1625">
        <f t="shared" ref="P22" si="150">K22/100</f>
        <v>1.6399999999999998E-2</v>
      </c>
      <c r="Q22" s="1625">
        <f t="shared" ref="Q22" si="151">L22/100</f>
        <v>2.0099999999999996E-2</v>
      </c>
      <c r="S22" s="1627">
        <f>B22/B23-1</f>
        <v>1.6999999999999904E-2</v>
      </c>
      <c r="T22" s="1628">
        <f>C22/C23-1</f>
        <v>1.9200000000000106E-2</v>
      </c>
      <c r="U22" s="1628">
        <f>E22/E23-1</f>
        <v>1.639999999999997E-2</v>
      </c>
      <c r="V22" s="1628">
        <f>F22/F23-1</f>
        <v>2.0100000000000007E-2</v>
      </c>
    </row>
    <row r="23" spans="1:32">
      <c r="A23" s="1619" t="s">
        <v>1742</v>
      </c>
      <c r="B23" s="1632">
        <v>439</v>
      </c>
      <c r="C23" s="1632">
        <v>327</v>
      </c>
      <c r="D23" s="1632">
        <f t="shared" si="145"/>
        <v>327</v>
      </c>
      <c r="E23" s="1632">
        <v>627</v>
      </c>
      <c r="F23" s="1633">
        <v>283</v>
      </c>
      <c r="G23" s="1894">
        <v>2017</v>
      </c>
      <c r="H23" s="1631">
        <v>4</v>
      </c>
      <c r="I23" s="1631">
        <v>1.71</v>
      </c>
      <c r="J23" s="1631">
        <v>1.78</v>
      </c>
      <c r="K23" s="1631">
        <v>1.71</v>
      </c>
      <c r="L23" s="1630">
        <v>1.43</v>
      </c>
      <c r="N23" s="1624">
        <f t="shared" ref="N23" si="152">I23/100</f>
        <v>1.7100000000000001E-2</v>
      </c>
      <c r="O23" s="1625">
        <f t="shared" ref="O23" si="153">J23/100</f>
        <v>1.78E-2</v>
      </c>
      <c r="P23" s="1625">
        <f t="shared" ref="P23" si="154">K23/100</f>
        <v>1.7100000000000001E-2</v>
      </c>
      <c r="Q23" s="1625">
        <f t="shared" ref="Q23" si="155">L23/100</f>
        <v>1.43E-2</v>
      </c>
      <c r="R23" s="1626"/>
      <c r="S23" s="1634"/>
      <c r="T23" s="1629"/>
      <c r="U23" s="1629"/>
      <c r="V23" s="1629"/>
      <c r="AC23" s="1629"/>
      <c r="AD23" s="1629"/>
      <c r="AE23" s="1629"/>
      <c r="AF23" s="1629"/>
    </row>
    <row r="24" spans="1:32" s="1586" customFormat="1" ht="14.4" customHeight="1">
      <c r="A24" s="1619" t="s">
        <v>1739</v>
      </c>
      <c r="B24" s="1620">
        <f t="shared" si="135"/>
        <v>431.80730811680002</v>
      </c>
      <c r="C24" s="1620">
        <f t="shared" ref="C24:C25" si="156">C25*(1+O24)</f>
        <v>320.57880516480003</v>
      </c>
      <c r="D24" s="1620">
        <f t="shared" si="145"/>
        <v>320.57880516480003</v>
      </c>
      <c r="E24" s="1620">
        <f t="shared" ref="E24:F26" si="157">E25*(1+P24)</f>
        <v>615.96110553196797</v>
      </c>
      <c r="F24" s="1620">
        <f t="shared" si="157"/>
        <v>279.46777300108801</v>
      </c>
      <c r="G24" s="1891"/>
      <c r="H24" s="1622">
        <v>3</v>
      </c>
      <c r="I24" s="1583">
        <v>2.98</v>
      </c>
      <c r="J24" s="1583">
        <v>2.11</v>
      </c>
      <c r="K24" s="1583">
        <v>3.24</v>
      </c>
      <c r="L24" s="1584">
        <v>1.72</v>
      </c>
      <c r="N24" s="1624">
        <f t="shared" ref="N24:Q25" si="158">I24/100</f>
        <v>2.98E-2</v>
      </c>
      <c r="O24" s="1625">
        <f t="shared" si="158"/>
        <v>2.1099999999999997E-2</v>
      </c>
      <c r="P24" s="1625">
        <f t="shared" si="158"/>
        <v>3.2400000000000005E-2</v>
      </c>
      <c r="Q24" s="1625">
        <f t="shared" si="158"/>
        <v>1.72E-2</v>
      </c>
      <c r="S24" s="1638"/>
    </row>
    <row r="25" spans="1:32" s="1586" customFormat="1" ht="14.4" customHeight="1">
      <c r="A25" s="1619" t="s">
        <v>1639</v>
      </c>
      <c r="B25" s="1620">
        <f t="shared" si="135"/>
        <v>419.31181600000002</v>
      </c>
      <c r="C25" s="1620">
        <f t="shared" si="156"/>
        <v>313.95436800000004</v>
      </c>
      <c r="D25" s="1620">
        <f t="shared" si="145"/>
        <v>313.95436800000004</v>
      </c>
      <c r="E25" s="1620">
        <f t="shared" si="157"/>
        <v>596.63028431999999</v>
      </c>
      <c r="F25" s="1620">
        <f t="shared" si="157"/>
        <v>274.74220703999998</v>
      </c>
      <c r="G25" s="1891"/>
      <c r="H25" s="1635">
        <v>2</v>
      </c>
      <c r="I25" s="1636">
        <v>3.4</v>
      </c>
      <c r="J25" s="1636">
        <v>2</v>
      </c>
      <c r="K25" s="1636">
        <v>3.82</v>
      </c>
      <c r="L25" s="1637">
        <v>1.68</v>
      </c>
      <c r="N25" s="1624">
        <f t="shared" si="158"/>
        <v>3.4000000000000002E-2</v>
      </c>
      <c r="O25" s="1625">
        <f t="shared" si="158"/>
        <v>0.02</v>
      </c>
      <c r="P25" s="1625">
        <f t="shared" si="158"/>
        <v>3.8199999999999998E-2</v>
      </c>
      <c r="Q25" s="1625">
        <f t="shared" si="158"/>
        <v>1.6799999999999999E-2</v>
      </c>
      <c r="S25" s="1638"/>
    </row>
    <row r="26" spans="1:32" s="1586" customFormat="1" ht="15" customHeight="1" thickBot="1">
      <c r="A26" s="1619" t="s">
        <v>1640</v>
      </c>
      <c r="B26" s="1620">
        <f t="shared" si="135"/>
        <v>405.524</v>
      </c>
      <c r="C26" s="1620">
        <f t="shared" ref="C26" si="159">C27*(1+O26)</f>
        <v>307.79840000000002</v>
      </c>
      <c r="D26" s="1620">
        <f t="shared" si="145"/>
        <v>307.79840000000002</v>
      </c>
      <c r="E26" s="1620">
        <f t="shared" si="157"/>
        <v>574.67759999999998</v>
      </c>
      <c r="F26" s="1620">
        <f t="shared" si="157"/>
        <v>270.20280000000002</v>
      </c>
      <c r="G26" s="1899"/>
      <c r="H26" s="1622">
        <v>1</v>
      </c>
      <c r="I26" s="1583">
        <v>3.45</v>
      </c>
      <c r="J26" s="1583">
        <v>1.92</v>
      </c>
      <c r="K26" s="1583">
        <v>3.92</v>
      </c>
      <c r="L26" s="1584">
        <v>1.58</v>
      </c>
      <c r="N26" s="1624">
        <f>I26/100</f>
        <v>3.4500000000000003E-2</v>
      </c>
      <c r="O26" s="1625">
        <f t="shared" ref="O26" si="160">J26/100</f>
        <v>1.9199999999999998E-2</v>
      </c>
      <c r="P26" s="1625">
        <f t="shared" ref="P26" si="161">K26/100</f>
        <v>3.9199999999999999E-2</v>
      </c>
      <c r="Q26" s="1625">
        <f t="shared" ref="Q26" si="162">L26/100</f>
        <v>1.5800000000000002E-2</v>
      </c>
      <c r="S26" s="1627">
        <f>B26/B27-1</f>
        <v>3.4499999999999975E-2</v>
      </c>
      <c r="T26" s="1628">
        <f>C26/C27-1</f>
        <v>1.9200000000000106E-2</v>
      </c>
      <c r="U26" s="1628">
        <f>E26/E27-1</f>
        <v>3.9199999999999902E-2</v>
      </c>
      <c r="V26" s="1628">
        <f>F26/F27-1</f>
        <v>1.5800000000000036E-2</v>
      </c>
    </row>
    <row r="27" spans="1:32">
      <c r="A27" s="1619" t="s">
        <v>276</v>
      </c>
      <c r="B27" s="1639">
        <v>392</v>
      </c>
      <c r="C27" s="1639">
        <v>302</v>
      </c>
      <c r="D27" s="1639">
        <f t="shared" si="145"/>
        <v>302</v>
      </c>
      <c r="E27" s="1639">
        <v>553</v>
      </c>
      <c r="F27" s="1640">
        <v>266</v>
      </c>
      <c r="G27" s="1894">
        <v>2016</v>
      </c>
      <c r="H27" s="1631">
        <v>4</v>
      </c>
      <c r="I27" s="1631">
        <v>4.5599999999999996</v>
      </c>
      <c r="J27" s="1631">
        <v>2.15</v>
      </c>
      <c r="K27" s="1631">
        <v>5.32</v>
      </c>
      <c r="L27" s="1630">
        <v>1.57</v>
      </c>
      <c r="N27" s="1624">
        <f>I27/100</f>
        <v>4.5599999999999995E-2</v>
      </c>
      <c r="O27" s="1625">
        <f t="shared" ref="O27:Q42" si="163">J27/100</f>
        <v>2.1499999999999998E-2</v>
      </c>
      <c r="P27" s="1625">
        <f t="shared" si="163"/>
        <v>5.3200000000000004E-2</v>
      </c>
      <c r="Q27" s="1625">
        <f t="shared" si="163"/>
        <v>1.5700000000000002E-2</v>
      </c>
      <c r="R27" s="1626"/>
      <c r="S27" s="1634"/>
      <c r="T27" s="1629"/>
      <c r="U27" s="1629"/>
      <c r="V27" s="1629"/>
      <c r="AC27" s="1629"/>
      <c r="AD27" s="1629"/>
      <c r="AE27" s="1629"/>
      <c r="AF27" s="1629"/>
    </row>
    <row r="28" spans="1:32">
      <c r="A28" s="1619" t="s">
        <v>275</v>
      </c>
      <c r="B28" s="1620">
        <f t="shared" ref="B28:C30" si="164">B27/(1+N27)</f>
        <v>374.90436113236416</v>
      </c>
      <c r="C28" s="1620">
        <f t="shared" si="164"/>
        <v>295.64366128242779</v>
      </c>
      <c r="D28" s="1620">
        <f t="shared" ref="D28:D87" si="165">C28</f>
        <v>295.64366128242779</v>
      </c>
      <c r="E28" s="1620">
        <f t="shared" ref="E28:F30" si="166">E27/(1+P27)</f>
        <v>525.06646410938095</v>
      </c>
      <c r="F28" s="1620">
        <f t="shared" si="166"/>
        <v>261.88835286009646</v>
      </c>
      <c r="G28" s="1891"/>
      <c r="H28" s="1622">
        <v>3</v>
      </c>
      <c r="I28" s="1622">
        <v>4.12</v>
      </c>
      <c r="J28" s="1622">
        <v>2</v>
      </c>
      <c r="K28" s="1622">
        <v>4.79</v>
      </c>
      <c r="L28" s="1641">
        <v>1.97</v>
      </c>
      <c r="N28" s="1624">
        <f t="shared" ref="N28:Q62" si="167">I28/100</f>
        <v>4.1200000000000001E-2</v>
      </c>
      <c r="O28" s="1625">
        <f t="shared" si="163"/>
        <v>0.02</v>
      </c>
      <c r="P28" s="1625">
        <f t="shared" si="163"/>
        <v>4.7899999999999998E-2</v>
      </c>
      <c r="Q28" s="1625">
        <f t="shared" si="163"/>
        <v>1.9699999999999999E-2</v>
      </c>
      <c r="R28" s="1626"/>
      <c r="S28" s="1624"/>
      <c r="T28" s="1625"/>
      <c r="U28" s="1625"/>
      <c r="V28" s="1625"/>
    </row>
    <row r="29" spans="1:32">
      <c r="A29" s="1619" t="s">
        <v>265</v>
      </c>
      <c r="B29" s="1620">
        <f t="shared" si="164"/>
        <v>360.06949782209392</v>
      </c>
      <c r="C29" s="1620">
        <f t="shared" si="164"/>
        <v>289.84672674747821</v>
      </c>
      <c r="D29" s="1620">
        <f t="shared" si="165"/>
        <v>289.84672674747821</v>
      </c>
      <c r="E29" s="1620">
        <f t="shared" si="166"/>
        <v>501.06543001181495</v>
      </c>
      <c r="F29" s="1620">
        <f t="shared" si="166"/>
        <v>256.82882500744967</v>
      </c>
      <c r="G29" s="1891"/>
      <c r="H29" s="1635">
        <v>2</v>
      </c>
      <c r="I29" s="1635">
        <v>3.85</v>
      </c>
      <c r="J29" s="1635">
        <v>1.95</v>
      </c>
      <c r="K29" s="1635">
        <v>4.4800000000000004</v>
      </c>
      <c r="L29" s="1642">
        <v>1.41</v>
      </c>
      <c r="N29" s="1624">
        <f t="shared" si="167"/>
        <v>3.85E-2</v>
      </c>
      <c r="O29" s="1625">
        <f t="shared" si="163"/>
        <v>1.95E-2</v>
      </c>
      <c r="P29" s="1625">
        <f t="shared" si="163"/>
        <v>4.4800000000000006E-2</v>
      </c>
      <c r="Q29" s="1625">
        <f t="shared" si="163"/>
        <v>1.41E-2</v>
      </c>
      <c r="R29" s="1626"/>
      <c r="S29" s="1624"/>
      <c r="T29" s="1625"/>
      <c r="U29" s="1625"/>
      <c r="V29" s="1625"/>
    </row>
    <row r="30" spans="1:32" ht="13.8" thickBot="1">
      <c r="A30" s="1619" t="s">
        <v>274</v>
      </c>
      <c r="B30" s="1620">
        <f t="shared" si="164"/>
        <v>346.720748986128</v>
      </c>
      <c r="C30" s="1620">
        <f t="shared" si="164"/>
        <v>284.30282172386285</v>
      </c>
      <c r="D30" s="1620">
        <f t="shared" si="165"/>
        <v>284.30282172386285</v>
      </c>
      <c r="E30" s="1620">
        <f t="shared" si="166"/>
        <v>479.58023546306947</v>
      </c>
      <c r="F30" s="1620">
        <f t="shared" si="166"/>
        <v>253.25788877571213</v>
      </c>
      <c r="G30" s="1892"/>
      <c r="H30" s="1622">
        <v>1</v>
      </c>
      <c r="I30" s="1622">
        <v>4.09</v>
      </c>
      <c r="J30" s="1622">
        <v>2.93</v>
      </c>
      <c r="K30" s="1622">
        <v>4.54</v>
      </c>
      <c r="L30" s="1641">
        <v>1.48</v>
      </c>
      <c r="N30" s="1624">
        <f t="shared" si="167"/>
        <v>4.0899999999999999E-2</v>
      </c>
      <c r="O30" s="1625">
        <f t="shared" si="163"/>
        <v>2.9300000000000003E-2</v>
      </c>
      <c r="P30" s="1625">
        <f t="shared" si="163"/>
        <v>4.5400000000000003E-2</v>
      </c>
      <c r="Q30" s="1625">
        <f t="shared" si="163"/>
        <v>1.4800000000000001E-2</v>
      </c>
      <c r="R30" s="1626"/>
      <c r="S30" s="1627">
        <f>B30/B31-1</f>
        <v>4.1203450408792808E-2</v>
      </c>
      <c r="T30" s="1628">
        <f>C30/C31-1</f>
        <v>2.6363977342465095E-2</v>
      </c>
      <c r="U30" s="1628">
        <f>E30/E31-1</f>
        <v>4.4837114298626357E-2</v>
      </c>
      <c r="V30" s="1628">
        <f>F30/F31-1</f>
        <v>1.7099954922538574E-2</v>
      </c>
      <c r="AC30" s="1625"/>
      <c r="AD30" s="1625"/>
      <c r="AE30" s="1625"/>
      <c r="AF30" s="1625"/>
    </row>
    <row r="31" spans="1:32" ht="13.8" thickBot="1">
      <c r="A31" s="1619" t="s">
        <v>273</v>
      </c>
      <c r="B31" s="1639">
        <v>333</v>
      </c>
      <c r="C31" s="1639">
        <v>277</v>
      </c>
      <c r="D31" s="1639">
        <f t="shared" si="165"/>
        <v>277</v>
      </c>
      <c r="E31" s="1639">
        <v>459</v>
      </c>
      <c r="F31" s="1640">
        <v>249</v>
      </c>
      <c r="G31" s="1890">
        <v>2015</v>
      </c>
      <c r="H31" s="1643">
        <v>4</v>
      </c>
      <c r="I31" s="1643">
        <v>1.63</v>
      </c>
      <c r="J31" s="1643">
        <v>1.1100000000000001</v>
      </c>
      <c r="K31" s="1643">
        <v>1.77</v>
      </c>
      <c r="L31" s="1644">
        <v>1.89</v>
      </c>
      <c r="N31" s="1645">
        <f t="shared" si="167"/>
        <v>1.6299999999999999E-2</v>
      </c>
      <c r="O31" s="1646">
        <f t="shared" si="163"/>
        <v>1.11E-2</v>
      </c>
      <c r="P31" s="1646">
        <f t="shared" si="163"/>
        <v>1.77E-2</v>
      </c>
      <c r="Q31" s="1646">
        <f t="shared" si="163"/>
        <v>1.89E-2</v>
      </c>
      <c r="R31" s="1626"/>
      <c r="AC31" s="1629"/>
      <c r="AD31" s="1629"/>
      <c r="AE31" s="1629"/>
      <c r="AF31" s="1629"/>
    </row>
    <row r="32" spans="1:32">
      <c r="A32" s="1619" t="s">
        <v>272</v>
      </c>
      <c r="B32" s="1620">
        <f t="shared" ref="B32:C34" si="168">B31/(1+N31)</f>
        <v>327.65915576109415</v>
      </c>
      <c r="C32" s="1620">
        <f t="shared" si="168"/>
        <v>273.95905449510434</v>
      </c>
      <c r="D32" s="1620">
        <f t="shared" si="165"/>
        <v>273.95905449510434</v>
      </c>
      <c r="E32" s="1620">
        <f t="shared" ref="E32:F34" si="169">E31/(1+P31)</f>
        <v>451.01699911565294</v>
      </c>
      <c r="F32" s="1620">
        <f t="shared" si="169"/>
        <v>244.38119540681129</v>
      </c>
      <c r="G32" s="1891"/>
      <c r="H32" s="1648">
        <v>3</v>
      </c>
      <c r="I32" s="1648">
        <v>1.65</v>
      </c>
      <c r="J32" s="1648">
        <v>0.92</v>
      </c>
      <c r="K32" s="1648">
        <v>1.88</v>
      </c>
      <c r="L32" s="1649">
        <v>1.26</v>
      </c>
      <c r="N32" s="1624">
        <f t="shared" si="167"/>
        <v>1.6500000000000001E-2</v>
      </c>
      <c r="O32" s="1650">
        <f t="shared" si="163"/>
        <v>9.1999999999999998E-3</v>
      </c>
      <c r="P32" s="1650">
        <f t="shared" si="163"/>
        <v>1.8799999999999997E-2</v>
      </c>
      <c r="Q32" s="1650">
        <f t="shared" si="163"/>
        <v>1.26E-2</v>
      </c>
      <c r="R32" s="1626"/>
      <c r="S32" s="1624"/>
      <c r="T32" s="1625"/>
      <c r="U32" s="1625"/>
      <c r="V32" s="1625"/>
    </row>
    <row r="33" spans="1:32">
      <c r="A33" s="1619" t="s">
        <v>271</v>
      </c>
      <c r="B33" s="1620">
        <f t="shared" si="168"/>
        <v>322.34053690220776</v>
      </c>
      <c r="C33" s="1620">
        <f t="shared" si="168"/>
        <v>271.46160770422546</v>
      </c>
      <c r="D33" s="1620">
        <f t="shared" si="165"/>
        <v>271.46160770422546</v>
      </c>
      <c r="E33" s="1620">
        <f t="shared" si="169"/>
        <v>442.69434542172456</v>
      </c>
      <c r="F33" s="1620">
        <f t="shared" si="169"/>
        <v>241.34030753190925</v>
      </c>
      <c r="G33" s="1891"/>
      <c r="H33" s="1635">
        <v>2</v>
      </c>
      <c r="I33" s="1635">
        <v>0.77</v>
      </c>
      <c r="J33" s="1635">
        <v>0.69</v>
      </c>
      <c r="K33" s="1635">
        <v>0.8</v>
      </c>
      <c r="L33" s="1642">
        <v>0.88</v>
      </c>
      <c r="N33" s="1624">
        <f t="shared" si="167"/>
        <v>7.7000000000000002E-3</v>
      </c>
      <c r="O33" s="1650">
        <f t="shared" si="163"/>
        <v>6.8999999999999999E-3</v>
      </c>
      <c r="P33" s="1650">
        <f t="shared" si="163"/>
        <v>8.0000000000000002E-3</v>
      </c>
      <c r="Q33" s="1650">
        <f t="shared" si="163"/>
        <v>8.8000000000000005E-3</v>
      </c>
      <c r="R33" s="1626"/>
      <c r="S33" s="1624"/>
      <c r="T33" s="1625"/>
      <c r="U33" s="1625"/>
      <c r="V33" s="1625"/>
    </row>
    <row r="34" spans="1:32">
      <c r="A34" s="1619" t="s">
        <v>270</v>
      </c>
      <c r="B34" s="1620">
        <f t="shared" si="168"/>
        <v>319.87748030386797</v>
      </c>
      <c r="C34" s="1620">
        <f t="shared" si="168"/>
        <v>269.60135833173649</v>
      </c>
      <c r="D34" s="1620">
        <f t="shared" si="165"/>
        <v>269.60135833173649</v>
      </c>
      <c r="E34" s="1620">
        <f t="shared" si="169"/>
        <v>439.18089823583784</v>
      </c>
      <c r="F34" s="1620">
        <f t="shared" si="169"/>
        <v>239.23503918706311</v>
      </c>
      <c r="G34" s="1892"/>
      <c r="H34" s="1622">
        <v>1</v>
      </c>
      <c r="I34" s="1622">
        <v>0.51</v>
      </c>
      <c r="J34" s="1622">
        <v>0.54</v>
      </c>
      <c r="K34" s="1622">
        <v>0.48</v>
      </c>
      <c r="L34" s="1641">
        <v>0.93</v>
      </c>
      <c r="N34" s="1627">
        <f t="shared" si="167"/>
        <v>5.1000000000000004E-3</v>
      </c>
      <c r="O34" s="1628">
        <f t="shared" si="163"/>
        <v>5.4000000000000003E-3</v>
      </c>
      <c r="P34" s="1628">
        <f t="shared" si="163"/>
        <v>4.7999999999999996E-3</v>
      </c>
      <c r="Q34" s="1628">
        <f t="shared" si="163"/>
        <v>9.300000000000001E-3</v>
      </c>
      <c r="R34" s="1626"/>
      <c r="S34" s="1627">
        <f>B34/B35-1</f>
        <v>5.9040261127922822E-3</v>
      </c>
      <c r="T34" s="1628">
        <f>C34/C35-1</f>
        <v>5.9752176557332781E-3</v>
      </c>
      <c r="U34" s="1628">
        <f>E34/E35-1</f>
        <v>4.9906138119859556E-3</v>
      </c>
      <c r="V34" s="1628">
        <f>F34/F35-1</f>
        <v>9.4305450930933787E-3</v>
      </c>
      <c r="AC34" s="1625"/>
      <c r="AD34" s="1625"/>
      <c r="AE34" s="1625"/>
      <c r="AF34" s="1625"/>
    </row>
    <row r="35" spans="1:32" ht="13.8" thickBot="1">
      <c r="A35" s="1619" t="s">
        <v>269</v>
      </c>
      <c r="B35" s="1651">
        <v>318</v>
      </c>
      <c r="C35" s="1651">
        <v>268</v>
      </c>
      <c r="D35" s="1651">
        <f t="shared" si="165"/>
        <v>268</v>
      </c>
      <c r="E35" s="1651">
        <v>437</v>
      </c>
      <c r="F35" s="1652">
        <v>237</v>
      </c>
      <c r="G35" s="1890">
        <v>2014</v>
      </c>
      <c r="H35" s="1643">
        <v>4</v>
      </c>
      <c r="I35" s="1643">
        <v>0.21</v>
      </c>
      <c r="J35" s="1643">
        <v>0.41</v>
      </c>
      <c r="K35" s="1643">
        <v>0.12</v>
      </c>
      <c r="L35" s="1644">
        <v>0.89</v>
      </c>
      <c r="N35" s="1624">
        <f t="shared" si="167"/>
        <v>2.0999999999999999E-3</v>
      </c>
      <c r="O35" s="1625">
        <f t="shared" si="163"/>
        <v>4.0999999999999995E-3</v>
      </c>
      <c r="P35" s="1625">
        <f t="shared" si="163"/>
        <v>1.1999999999999999E-3</v>
      </c>
      <c r="Q35" s="1625">
        <f t="shared" si="163"/>
        <v>8.8999999999999999E-3</v>
      </c>
      <c r="R35" s="1626"/>
      <c r="S35" s="1634"/>
      <c r="T35" s="1629"/>
      <c r="U35" s="1629"/>
      <c r="V35" s="1629"/>
      <c r="AC35" s="1629"/>
      <c r="AD35" s="1629"/>
      <c r="AE35" s="1629"/>
      <c r="AF35" s="1629"/>
    </row>
    <row r="36" spans="1:32">
      <c r="A36" s="1619" t="s">
        <v>268</v>
      </c>
      <c r="B36" s="1620">
        <f t="shared" ref="B36:C38" si="170">B35/(1+N35)</f>
        <v>317.33359944117353</v>
      </c>
      <c r="C36" s="1620">
        <f t="shared" si="170"/>
        <v>266.90568668459315</v>
      </c>
      <c r="D36" s="1620">
        <f t="shared" si="165"/>
        <v>266.90568668459315</v>
      </c>
      <c r="E36" s="1620">
        <f t="shared" ref="E36:F38" si="171">E35/(1+P35)</f>
        <v>436.47622852576905</v>
      </c>
      <c r="F36" s="1620">
        <f t="shared" si="171"/>
        <v>234.90930716622066</v>
      </c>
      <c r="G36" s="1891"/>
      <c r="H36" s="1653">
        <v>3</v>
      </c>
      <c r="I36" s="1653">
        <v>0.83</v>
      </c>
      <c r="J36" s="1653">
        <v>1.47</v>
      </c>
      <c r="K36" s="1653">
        <v>0.65</v>
      </c>
      <c r="L36" s="1654">
        <v>0.72</v>
      </c>
      <c r="N36" s="1624">
        <f t="shared" si="167"/>
        <v>8.3000000000000001E-3</v>
      </c>
      <c r="O36" s="1625">
        <f t="shared" si="163"/>
        <v>1.47E-2</v>
      </c>
      <c r="P36" s="1625">
        <f t="shared" si="163"/>
        <v>6.5000000000000006E-3</v>
      </c>
      <c r="Q36" s="1625">
        <f t="shared" si="163"/>
        <v>7.1999999999999998E-3</v>
      </c>
      <c r="R36" s="1626"/>
      <c r="S36" s="1624"/>
      <c r="T36" s="1625"/>
      <c r="U36" s="1625"/>
      <c r="V36" s="1625"/>
    </row>
    <row r="37" spans="1:32" ht="13.8" thickBot="1">
      <c r="A37" s="1619" t="s">
        <v>267</v>
      </c>
      <c r="B37" s="1620">
        <f t="shared" si="170"/>
        <v>314.72141172386546</v>
      </c>
      <c r="C37" s="1620">
        <f t="shared" si="170"/>
        <v>263.03901319069001</v>
      </c>
      <c r="D37" s="1620">
        <f t="shared" si="165"/>
        <v>263.03901319069001</v>
      </c>
      <c r="E37" s="1620">
        <f t="shared" si="171"/>
        <v>433.65745506782821</v>
      </c>
      <c r="F37" s="1620">
        <f t="shared" si="171"/>
        <v>233.23005080045735</v>
      </c>
      <c r="G37" s="1891"/>
      <c r="H37" s="1643">
        <v>2</v>
      </c>
      <c r="I37" s="1643">
        <v>2.4</v>
      </c>
      <c r="J37" s="1643">
        <v>2.0299999999999998</v>
      </c>
      <c r="K37" s="1643">
        <v>2.59</v>
      </c>
      <c r="L37" s="1644">
        <v>1.52</v>
      </c>
      <c r="N37" s="1624">
        <f t="shared" si="167"/>
        <v>2.4E-2</v>
      </c>
      <c r="O37" s="1625">
        <f t="shared" si="163"/>
        <v>2.0299999999999999E-2</v>
      </c>
      <c r="P37" s="1625">
        <f t="shared" si="163"/>
        <v>2.5899999999999999E-2</v>
      </c>
      <c r="Q37" s="1625">
        <f t="shared" si="163"/>
        <v>1.52E-2</v>
      </c>
      <c r="R37" s="1626"/>
      <c r="S37" s="1624"/>
      <c r="T37" s="1625"/>
      <c r="U37" s="1625"/>
      <c r="V37" s="1625"/>
    </row>
    <row r="38" spans="1:32" s="1659" customFormat="1" ht="13.8" thickBot="1">
      <c r="A38" s="1655" t="s">
        <v>266</v>
      </c>
      <c r="B38" s="1656">
        <f t="shared" si="170"/>
        <v>307.34512863658733</v>
      </c>
      <c r="C38" s="1656">
        <f t="shared" si="170"/>
        <v>257.80556031626975</v>
      </c>
      <c r="D38" s="1656">
        <f t="shared" si="165"/>
        <v>257.80556031626975</v>
      </c>
      <c r="E38" s="1656">
        <f t="shared" si="171"/>
        <v>422.70928459677179</v>
      </c>
      <c r="F38" s="1656">
        <f t="shared" si="171"/>
        <v>229.73803270336617</v>
      </c>
      <c r="G38" s="1892"/>
      <c r="H38" s="1657">
        <v>1</v>
      </c>
      <c r="I38" s="1657">
        <v>2.97</v>
      </c>
      <c r="J38" s="1657">
        <v>2.34</v>
      </c>
      <c r="K38" s="1657">
        <v>3.28</v>
      </c>
      <c r="L38" s="1658">
        <v>1.36</v>
      </c>
      <c r="N38" s="1660">
        <f t="shared" si="167"/>
        <v>2.9700000000000001E-2</v>
      </c>
      <c r="O38" s="1661">
        <f t="shared" si="163"/>
        <v>2.3399999999999997E-2</v>
      </c>
      <c r="P38" s="1661">
        <f t="shared" si="163"/>
        <v>3.2799999999999996E-2</v>
      </c>
      <c r="Q38" s="1661">
        <f t="shared" si="163"/>
        <v>1.3600000000000001E-2</v>
      </c>
      <c r="R38" s="1662"/>
      <c r="S38" s="1663">
        <f>B38/B39-1</f>
        <v>2.7910129219355539E-2</v>
      </c>
      <c r="T38" s="1664">
        <f>C38/C39-1</f>
        <v>2.3037937762975247E-2</v>
      </c>
      <c r="U38" s="1664">
        <f>E38/E39-1</f>
        <v>3.3519033243940788E-2</v>
      </c>
      <c r="V38" s="1664">
        <f>F38/F39-1</f>
        <v>1.2061818076502862E-2</v>
      </c>
      <c r="AC38" s="1661"/>
      <c r="AD38" s="1661"/>
      <c r="AE38" s="1661"/>
      <c r="AF38" s="1661"/>
    </row>
    <row r="39" spans="1:32" ht="13.8" thickBot="1">
      <c r="A39" s="1619" t="s">
        <v>1641</v>
      </c>
      <c r="B39" s="1639">
        <v>299</v>
      </c>
      <c r="C39" s="1639">
        <v>252</v>
      </c>
      <c r="D39" s="1639">
        <f t="shared" si="165"/>
        <v>252</v>
      </c>
      <c r="E39" s="1639">
        <v>409</v>
      </c>
      <c r="F39" s="1640">
        <v>227</v>
      </c>
      <c r="G39" s="1895">
        <v>2013</v>
      </c>
      <c r="H39" s="1665">
        <v>4</v>
      </c>
      <c r="I39" s="1665">
        <v>1.83</v>
      </c>
      <c r="J39" s="1665">
        <v>1.68</v>
      </c>
      <c r="K39" s="1665">
        <v>1.97</v>
      </c>
      <c r="L39" s="1666">
        <v>0.87</v>
      </c>
      <c r="N39" s="1645">
        <f t="shared" si="167"/>
        <v>1.83E-2</v>
      </c>
      <c r="O39" s="1646">
        <f t="shared" si="163"/>
        <v>1.6799999999999999E-2</v>
      </c>
      <c r="P39" s="1646">
        <f t="shared" si="163"/>
        <v>1.9699999999999999E-2</v>
      </c>
      <c r="Q39" s="1646">
        <f t="shared" si="163"/>
        <v>8.6999999999999994E-3</v>
      </c>
      <c r="R39" s="1626"/>
      <c r="S39" s="1634"/>
      <c r="T39" s="1629"/>
      <c r="U39" s="1629"/>
      <c r="V39" s="1629"/>
      <c r="AC39" s="1629"/>
      <c r="AD39" s="1629"/>
      <c r="AE39" s="1629"/>
      <c r="AF39" s="1629"/>
    </row>
    <row r="40" spans="1:32">
      <c r="A40" s="1619" t="s">
        <v>1642</v>
      </c>
      <c r="B40" s="1620">
        <f t="shared" ref="B40:C42" si="172">B39/(1+N39)</f>
        <v>293.62663262299913</v>
      </c>
      <c r="C40" s="1620">
        <f t="shared" si="172"/>
        <v>247.83634933123525</v>
      </c>
      <c r="D40" s="1620">
        <f t="shared" si="165"/>
        <v>247.83634933123525</v>
      </c>
      <c r="E40" s="1620">
        <f t="shared" ref="E40:F42" si="173">E39/(1+P39)</f>
        <v>401.09836226341076</v>
      </c>
      <c r="F40" s="1620">
        <f t="shared" si="173"/>
        <v>225.04213343908003</v>
      </c>
      <c r="G40" s="1896"/>
      <c r="H40" s="1648">
        <v>3</v>
      </c>
      <c r="I40" s="1648">
        <v>1.86</v>
      </c>
      <c r="J40" s="1648">
        <v>1.72</v>
      </c>
      <c r="K40" s="1648">
        <v>1.98</v>
      </c>
      <c r="L40" s="1649">
        <v>0.88</v>
      </c>
      <c r="N40" s="1624">
        <f t="shared" si="167"/>
        <v>1.8600000000000002E-2</v>
      </c>
      <c r="O40" s="1650">
        <f t="shared" si="163"/>
        <v>1.72E-2</v>
      </c>
      <c r="P40" s="1650">
        <f t="shared" si="163"/>
        <v>1.9799999999999998E-2</v>
      </c>
      <c r="Q40" s="1650">
        <f t="shared" si="163"/>
        <v>8.8000000000000005E-3</v>
      </c>
      <c r="R40" s="1626"/>
      <c r="S40" s="1624"/>
      <c r="T40" s="1625"/>
      <c r="U40" s="1625"/>
      <c r="V40" s="1625"/>
    </row>
    <row r="41" spans="1:32">
      <c r="A41" s="1619" t="s">
        <v>1643</v>
      </c>
      <c r="B41" s="1620">
        <f t="shared" si="172"/>
        <v>288.2649053828776</v>
      </c>
      <c r="C41" s="1620">
        <f t="shared" si="172"/>
        <v>243.64564425013293</v>
      </c>
      <c r="D41" s="1620">
        <f t="shared" si="165"/>
        <v>243.64564425013293</v>
      </c>
      <c r="E41" s="1620">
        <f t="shared" si="173"/>
        <v>393.31080825986544</v>
      </c>
      <c r="F41" s="1620">
        <f t="shared" si="173"/>
        <v>223.07903790551154</v>
      </c>
      <c r="G41" s="1896"/>
      <c r="H41" s="1635">
        <v>2</v>
      </c>
      <c r="I41" s="1635">
        <v>2.04</v>
      </c>
      <c r="J41" s="1635">
        <v>2.33</v>
      </c>
      <c r="K41" s="1635">
        <v>2.0699999999999998</v>
      </c>
      <c r="L41" s="1642">
        <v>0.69</v>
      </c>
      <c r="N41" s="1624">
        <f t="shared" si="167"/>
        <v>2.0400000000000001E-2</v>
      </c>
      <c r="O41" s="1650">
        <f t="shared" si="163"/>
        <v>2.3300000000000001E-2</v>
      </c>
      <c r="P41" s="1650">
        <f t="shared" si="163"/>
        <v>2.07E-2</v>
      </c>
      <c r="Q41" s="1650">
        <f t="shared" si="163"/>
        <v>6.8999999999999999E-3</v>
      </c>
      <c r="R41" s="1626"/>
      <c r="S41" s="1624"/>
      <c r="T41" s="1625"/>
      <c r="U41" s="1625"/>
      <c r="V41" s="1625"/>
    </row>
    <row r="42" spans="1:32">
      <c r="A42" s="1619" t="s">
        <v>1644</v>
      </c>
      <c r="B42" s="1620">
        <f t="shared" si="172"/>
        <v>282.50186729015837</v>
      </c>
      <c r="C42" s="1620">
        <f t="shared" si="172"/>
        <v>238.09796174155468</v>
      </c>
      <c r="D42" s="1620">
        <f t="shared" si="165"/>
        <v>238.09796174155468</v>
      </c>
      <c r="E42" s="1620">
        <f t="shared" si="173"/>
        <v>385.33438646014054</v>
      </c>
      <c r="F42" s="1620">
        <f t="shared" si="173"/>
        <v>221.55034055567739</v>
      </c>
      <c r="G42" s="1897"/>
      <c r="H42" s="1622">
        <v>1</v>
      </c>
      <c r="I42" s="1622">
        <v>1.67</v>
      </c>
      <c r="J42" s="1622">
        <v>1.31</v>
      </c>
      <c r="K42" s="1622">
        <v>1.85</v>
      </c>
      <c r="L42" s="1641">
        <v>0.96</v>
      </c>
      <c r="N42" s="1627">
        <f t="shared" si="167"/>
        <v>1.67E-2</v>
      </c>
      <c r="O42" s="1628">
        <f t="shared" si="163"/>
        <v>1.3100000000000001E-2</v>
      </c>
      <c r="P42" s="1628">
        <f t="shared" si="163"/>
        <v>1.8500000000000003E-2</v>
      </c>
      <c r="Q42" s="1628">
        <f t="shared" si="163"/>
        <v>9.5999999999999992E-3</v>
      </c>
      <c r="R42" s="1626"/>
      <c r="S42" s="1627">
        <f>B42/B43-1</f>
        <v>1.6193767230785472E-2</v>
      </c>
      <c r="T42" s="1628">
        <f>C42/C43-1</f>
        <v>1.7512657015190891E-2</v>
      </c>
      <c r="U42" s="1628">
        <f>E42/E43-1</f>
        <v>1.6713420739157048E-2</v>
      </c>
      <c r="V42" s="1628">
        <f>F42/F43-1</f>
        <v>7.0470025258062563E-3</v>
      </c>
      <c r="AC42" s="1625"/>
      <c r="AD42" s="1625"/>
      <c r="AE42" s="1625"/>
      <c r="AF42" s="1625"/>
    </row>
    <row r="43" spans="1:32" ht="13.8" thickBot="1">
      <c r="A43" s="1619" t="s">
        <v>1645</v>
      </c>
      <c r="B43" s="1667">
        <v>278</v>
      </c>
      <c r="C43" s="1667">
        <v>234</v>
      </c>
      <c r="D43" s="1667">
        <f t="shared" si="165"/>
        <v>234</v>
      </c>
      <c r="E43" s="1667">
        <v>379</v>
      </c>
      <c r="F43" s="1668">
        <v>220</v>
      </c>
      <c r="G43" s="1890">
        <v>2012</v>
      </c>
      <c r="H43" s="1643">
        <v>4</v>
      </c>
      <c r="I43" s="1643">
        <v>0.91</v>
      </c>
      <c r="J43" s="1643">
        <v>0.68</v>
      </c>
      <c r="K43" s="1643">
        <v>0.98</v>
      </c>
      <c r="L43" s="1644">
        <v>0.9</v>
      </c>
      <c r="N43" s="1624">
        <f t="shared" si="167"/>
        <v>9.1000000000000004E-3</v>
      </c>
      <c r="O43" s="1625">
        <f t="shared" si="167"/>
        <v>6.8000000000000005E-3</v>
      </c>
      <c r="P43" s="1625">
        <f t="shared" si="167"/>
        <v>9.7999999999999997E-3</v>
      </c>
      <c r="Q43" s="1625">
        <f t="shared" si="167"/>
        <v>9.0000000000000011E-3</v>
      </c>
      <c r="R43" s="1626"/>
      <c r="S43" s="1634"/>
      <c r="T43" s="1629"/>
      <c r="U43" s="1629"/>
      <c r="V43" s="1629"/>
      <c r="AC43" s="1629"/>
      <c r="AD43" s="1629"/>
      <c r="AE43" s="1629"/>
      <c r="AF43" s="1629"/>
    </row>
    <row r="44" spans="1:32">
      <c r="A44" s="1619" t="s">
        <v>1646</v>
      </c>
      <c r="B44" s="1620">
        <f>B43/(1+N43)</f>
        <v>275.49301357645425</v>
      </c>
      <c r="C44" s="1620">
        <f>C43/(1+O43)</f>
        <v>232.41954707985698</v>
      </c>
      <c r="D44" s="1620">
        <f t="shared" si="165"/>
        <v>232.41954707985698</v>
      </c>
      <c r="E44" s="1620">
        <f t="shared" ref="E44:F46" si="174">E43/(1+P43)</f>
        <v>375.32184591008121</v>
      </c>
      <c r="F44" s="1620">
        <f t="shared" si="174"/>
        <v>218.03766105054513</v>
      </c>
      <c r="G44" s="1891"/>
      <c r="H44" s="1648">
        <v>3</v>
      </c>
      <c r="I44" s="1648">
        <v>0.09</v>
      </c>
      <c r="J44" s="1648">
        <v>0.28999999999999998</v>
      </c>
      <c r="K44" s="1648">
        <v>-0.01</v>
      </c>
      <c r="L44" s="1649">
        <v>0.57999999999999996</v>
      </c>
      <c r="N44" s="1624">
        <f t="shared" si="167"/>
        <v>8.9999999999999998E-4</v>
      </c>
      <c r="O44" s="1625">
        <f t="shared" si="167"/>
        <v>2.8999999999999998E-3</v>
      </c>
      <c r="P44" s="1625">
        <f t="shared" si="167"/>
        <v>-1E-4</v>
      </c>
      <c r="Q44" s="1625">
        <f t="shared" si="167"/>
        <v>5.7999999999999996E-3</v>
      </c>
      <c r="R44" s="1626"/>
      <c r="S44" s="1624"/>
      <c r="T44" s="1625"/>
      <c r="U44" s="1625"/>
      <c r="V44" s="1625"/>
    </row>
    <row r="45" spans="1:32">
      <c r="A45" s="1619" t="s">
        <v>1647</v>
      </c>
      <c r="B45" s="1620">
        <f>B44/(1+N44)</f>
        <v>275.24529281292263</v>
      </c>
      <c r="C45" s="1620">
        <f>C44/(1+O44)</f>
        <v>231.74747938962707</v>
      </c>
      <c r="D45" s="1620">
        <f t="shared" si="165"/>
        <v>231.74747938962707</v>
      </c>
      <c r="E45" s="1620">
        <f t="shared" si="174"/>
        <v>375.35938184826603</v>
      </c>
      <c r="F45" s="1620">
        <f t="shared" si="174"/>
        <v>216.78033510692495</v>
      </c>
      <c r="G45" s="1891"/>
      <c r="H45" s="1635">
        <v>2</v>
      </c>
      <c r="I45" s="1635">
        <v>0.02</v>
      </c>
      <c r="J45" s="1635">
        <v>0.12</v>
      </c>
      <c r="K45" s="1635">
        <v>-0.08</v>
      </c>
      <c r="L45" s="1642">
        <v>1.24</v>
      </c>
      <c r="N45" s="1624">
        <f t="shared" si="167"/>
        <v>2.0000000000000001E-4</v>
      </c>
      <c r="O45" s="1625">
        <f t="shared" si="167"/>
        <v>1.1999999999999999E-3</v>
      </c>
      <c r="P45" s="1625">
        <f t="shared" si="167"/>
        <v>-8.0000000000000004E-4</v>
      </c>
      <c r="Q45" s="1625">
        <f t="shared" si="167"/>
        <v>1.24E-2</v>
      </c>
      <c r="R45" s="1626"/>
      <c r="S45" s="1624"/>
      <c r="T45" s="1625"/>
      <c r="U45" s="1625"/>
      <c r="V45" s="1625"/>
    </row>
    <row r="46" spans="1:32" ht="13.8" thickBot="1">
      <c r="A46" s="1619" t="s">
        <v>1648</v>
      </c>
      <c r="B46" s="1620">
        <f>B45/(1+N45)</f>
        <v>275.19025476197027</v>
      </c>
      <c r="C46" s="1669">
        <v>232</v>
      </c>
      <c r="D46" s="1669">
        <f t="shared" si="165"/>
        <v>232</v>
      </c>
      <c r="E46" s="1620">
        <f t="shared" si="174"/>
        <v>375.65990977608692</v>
      </c>
      <c r="F46" s="1620">
        <f t="shared" si="174"/>
        <v>214.12518283971252</v>
      </c>
      <c r="G46" s="1892"/>
      <c r="H46" s="1622">
        <v>1</v>
      </c>
      <c r="I46" s="1622">
        <v>0.02</v>
      </c>
      <c r="J46" s="1622">
        <v>0.13</v>
      </c>
      <c r="K46" s="1622">
        <v>-0.04</v>
      </c>
      <c r="L46" s="1641">
        <v>0.46</v>
      </c>
      <c r="N46" s="1624">
        <f t="shared" si="167"/>
        <v>2.0000000000000001E-4</v>
      </c>
      <c r="O46" s="1625">
        <f t="shared" si="167"/>
        <v>1.2999999999999999E-3</v>
      </c>
      <c r="P46" s="1625">
        <f t="shared" si="167"/>
        <v>-4.0000000000000002E-4</v>
      </c>
      <c r="Q46" s="1625">
        <f t="shared" si="167"/>
        <v>4.5999999999999999E-3</v>
      </c>
      <c r="R46" s="1626"/>
      <c r="S46" s="1627">
        <f>B46/B47-1</f>
        <v>6.9183549807361189E-4</v>
      </c>
      <c r="T46" s="1628">
        <f>C46/C47-1</f>
        <v>0</v>
      </c>
      <c r="U46" s="1628">
        <f>E46/E47-1</f>
        <v>-9.0449527636460303E-4</v>
      </c>
      <c r="V46" s="1628">
        <f>F46/F47-1</f>
        <v>5.2825485432512753E-3</v>
      </c>
      <c r="AC46" s="1625"/>
      <c r="AD46" s="1625"/>
      <c r="AE46" s="1625"/>
      <c r="AF46" s="1625"/>
    </row>
    <row r="47" spans="1:32" ht="13.8" thickBot="1">
      <c r="A47" s="1619" t="s">
        <v>1649</v>
      </c>
      <c r="B47" s="1639">
        <v>275</v>
      </c>
      <c r="C47" s="1639">
        <v>232</v>
      </c>
      <c r="D47" s="1639">
        <f t="shared" si="165"/>
        <v>232</v>
      </c>
      <c r="E47" s="1639">
        <v>376</v>
      </c>
      <c r="F47" s="1640">
        <v>213</v>
      </c>
      <c r="G47" s="1890">
        <v>2011</v>
      </c>
      <c r="H47" s="1643">
        <v>4</v>
      </c>
      <c r="I47" s="1643">
        <v>-0.2</v>
      </c>
      <c r="J47" s="1643">
        <v>0.04</v>
      </c>
      <c r="K47" s="1643">
        <v>-0.34</v>
      </c>
      <c r="L47" s="1644">
        <v>0.46</v>
      </c>
      <c r="N47" s="1645">
        <f t="shared" si="167"/>
        <v>-2E-3</v>
      </c>
      <c r="O47" s="1646">
        <f t="shared" si="167"/>
        <v>4.0000000000000002E-4</v>
      </c>
      <c r="P47" s="1646">
        <f t="shared" si="167"/>
        <v>-3.4000000000000002E-3</v>
      </c>
      <c r="Q47" s="1646">
        <f t="shared" si="167"/>
        <v>4.5999999999999999E-3</v>
      </c>
      <c r="R47" s="1626"/>
      <c r="S47" s="1634"/>
      <c r="T47" s="1629"/>
      <c r="U47" s="1629"/>
      <c r="V47" s="1629"/>
      <c r="AC47" s="1629"/>
      <c r="AD47" s="1629"/>
      <c r="AE47" s="1629"/>
      <c r="AF47" s="1629"/>
    </row>
    <row r="48" spans="1:32">
      <c r="A48" s="1619" t="s">
        <v>1650</v>
      </c>
      <c r="B48" s="1620">
        <f t="shared" ref="B48:C50" si="175">B47/(1+N47)</f>
        <v>275.55110220440883</v>
      </c>
      <c r="C48" s="1620">
        <f t="shared" si="175"/>
        <v>231.90723710515795</v>
      </c>
      <c r="D48" s="1620">
        <f t="shared" si="165"/>
        <v>231.90723710515795</v>
      </c>
      <c r="E48" s="1620">
        <f t="shared" ref="E48:F50" si="176">E47/(1+P47)</f>
        <v>377.28276138872161</v>
      </c>
      <c r="F48" s="1620">
        <f t="shared" si="176"/>
        <v>212.02468644236512</v>
      </c>
      <c r="G48" s="1891">
        <v>2011</v>
      </c>
      <c r="H48" s="1648">
        <v>3</v>
      </c>
      <c r="I48" s="1648">
        <v>0.13</v>
      </c>
      <c r="J48" s="1648">
        <v>0.75</v>
      </c>
      <c r="K48" s="1648">
        <v>-0.08</v>
      </c>
      <c r="L48" s="1649">
        <v>0.53</v>
      </c>
      <c r="N48" s="1624">
        <f t="shared" si="167"/>
        <v>1.2999999999999999E-3</v>
      </c>
      <c r="O48" s="1650">
        <f t="shared" si="167"/>
        <v>7.4999999999999997E-3</v>
      </c>
      <c r="P48" s="1650">
        <f t="shared" si="167"/>
        <v>-8.0000000000000004E-4</v>
      </c>
      <c r="Q48" s="1650">
        <f t="shared" si="167"/>
        <v>5.3E-3</v>
      </c>
      <c r="R48" s="1626"/>
      <c r="S48" s="1624"/>
      <c r="T48" s="1625"/>
      <c r="U48" s="1625"/>
      <c r="V48" s="1625"/>
    </row>
    <row r="49" spans="1:32">
      <c r="A49" s="1619" t="s">
        <v>1651</v>
      </c>
      <c r="B49" s="1620">
        <f t="shared" si="175"/>
        <v>275.19335084830601</v>
      </c>
      <c r="C49" s="1620">
        <f t="shared" si="175"/>
        <v>230.18088050139744</v>
      </c>
      <c r="D49" s="1620">
        <f t="shared" si="165"/>
        <v>230.18088050139744</v>
      </c>
      <c r="E49" s="1620">
        <f t="shared" si="176"/>
        <v>377.58482925212331</v>
      </c>
      <c r="F49" s="1620">
        <f t="shared" si="176"/>
        <v>210.90687997847917</v>
      </c>
      <c r="G49" s="1891">
        <v>2011</v>
      </c>
      <c r="H49" s="1635">
        <v>2</v>
      </c>
      <c r="I49" s="1635">
        <v>-0.4</v>
      </c>
      <c r="J49" s="1635">
        <v>0.17</v>
      </c>
      <c r="K49" s="1635">
        <v>-0.57999999999999996</v>
      </c>
      <c r="L49" s="1642">
        <v>-0.2</v>
      </c>
      <c r="N49" s="1624">
        <f t="shared" si="167"/>
        <v>-4.0000000000000001E-3</v>
      </c>
      <c r="O49" s="1650">
        <f t="shared" si="167"/>
        <v>1.7000000000000001E-3</v>
      </c>
      <c r="P49" s="1650">
        <f t="shared" si="167"/>
        <v>-5.7999999999999996E-3</v>
      </c>
      <c r="Q49" s="1650">
        <f t="shared" si="167"/>
        <v>-2E-3</v>
      </c>
      <c r="R49" s="1626"/>
      <c r="S49" s="1624"/>
      <c r="T49" s="1625"/>
      <c r="U49" s="1625"/>
      <c r="V49" s="1625"/>
    </row>
    <row r="50" spans="1:32" ht="13.8" thickBot="1">
      <c r="A50" s="1619" t="s">
        <v>1652</v>
      </c>
      <c r="B50" s="1620">
        <f t="shared" si="175"/>
        <v>276.29854502841971</v>
      </c>
      <c r="C50" s="1620">
        <f t="shared" si="175"/>
        <v>229.79023709833027</v>
      </c>
      <c r="D50" s="1620">
        <f t="shared" si="165"/>
        <v>229.79023709833027</v>
      </c>
      <c r="E50" s="1620">
        <f t="shared" si="176"/>
        <v>379.78759731655936</v>
      </c>
      <c r="F50" s="1620">
        <f t="shared" si="176"/>
        <v>211.32953905659235</v>
      </c>
      <c r="G50" s="1892">
        <v>2011</v>
      </c>
      <c r="H50" s="1622">
        <v>1</v>
      </c>
      <c r="I50" s="1622">
        <v>2.65</v>
      </c>
      <c r="J50" s="1622">
        <v>3.76</v>
      </c>
      <c r="K50" s="1622">
        <v>1.89</v>
      </c>
      <c r="L50" s="1641">
        <v>7.95</v>
      </c>
      <c r="N50" s="1627">
        <f t="shared" si="167"/>
        <v>2.6499999999999999E-2</v>
      </c>
      <c r="O50" s="1628">
        <f t="shared" si="167"/>
        <v>3.7599999999999995E-2</v>
      </c>
      <c r="P50" s="1628">
        <f t="shared" si="167"/>
        <v>1.89E-2</v>
      </c>
      <c r="Q50" s="1628">
        <f t="shared" si="167"/>
        <v>7.9500000000000001E-2</v>
      </c>
      <c r="R50" s="1626"/>
      <c r="S50" s="1627">
        <f>B50/B51-1</f>
        <v>2.713213765211786E-2</v>
      </c>
      <c r="T50" s="1628">
        <f>C50/C51-1</f>
        <v>3.9774828499231862E-2</v>
      </c>
      <c r="U50" s="1628">
        <f>E50/E51-1</f>
        <v>1.8197311840641772E-2</v>
      </c>
      <c r="V50" s="1628">
        <f>F50/F51-1</f>
        <v>7.8211933962205826E-2</v>
      </c>
      <c r="AC50" s="1625"/>
      <c r="AD50" s="1625"/>
      <c r="AE50" s="1625"/>
      <c r="AF50" s="1625"/>
    </row>
    <row r="51" spans="1:32" ht="13.8" thickBot="1">
      <c r="A51" s="1619" t="s">
        <v>1653</v>
      </c>
      <c r="B51" s="1639">
        <v>269</v>
      </c>
      <c r="C51" s="1639">
        <v>221</v>
      </c>
      <c r="D51" s="1639">
        <f t="shared" si="165"/>
        <v>221</v>
      </c>
      <c r="E51" s="1639">
        <v>373</v>
      </c>
      <c r="F51" s="1640">
        <v>196</v>
      </c>
      <c r="G51" s="1890">
        <v>2010</v>
      </c>
      <c r="H51" s="1643">
        <v>4</v>
      </c>
      <c r="I51" s="1643">
        <v>5.72</v>
      </c>
      <c r="J51" s="1643">
        <v>6.57</v>
      </c>
      <c r="K51" s="1643">
        <v>5.72</v>
      </c>
      <c r="L51" s="1644">
        <v>2.72</v>
      </c>
      <c r="N51" s="1624">
        <f t="shared" si="167"/>
        <v>5.7200000000000001E-2</v>
      </c>
      <c r="O51" s="1625">
        <f t="shared" si="167"/>
        <v>6.5700000000000008E-2</v>
      </c>
      <c r="P51" s="1625">
        <f t="shared" si="167"/>
        <v>5.7200000000000001E-2</v>
      </c>
      <c r="Q51" s="1625">
        <f t="shared" si="167"/>
        <v>2.7200000000000002E-2</v>
      </c>
      <c r="R51" s="1626"/>
      <c r="S51" s="1634"/>
      <c r="T51" s="1629"/>
      <c r="U51" s="1629"/>
      <c r="V51" s="1629"/>
      <c r="AC51" s="1629"/>
      <c r="AD51" s="1629"/>
      <c r="AE51" s="1629"/>
      <c r="AF51" s="1629"/>
    </row>
    <row r="52" spans="1:32">
      <c r="A52" s="1619" t="s">
        <v>1654</v>
      </c>
      <c r="B52" s="1620">
        <f t="shared" ref="B52:C54" si="177">B51/(1+N51)</f>
        <v>254.44570563753314</v>
      </c>
      <c r="C52" s="1620">
        <f t="shared" si="177"/>
        <v>207.37543398705074</v>
      </c>
      <c r="D52" s="1620">
        <f t="shared" si="165"/>
        <v>207.37543398705074</v>
      </c>
      <c r="E52" s="1620">
        <f t="shared" ref="E52:F54" si="178">E51/(1+P51)</f>
        <v>352.81876655315932</v>
      </c>
      <c r="F52" s="1620">
        <f t="shared" si="178"/>
        <v>190.809968847352</v>
      </c>
      <c r="G52" s="1891">
        <v>2010</v>
      </c>
      <c r="H52" s="1648">
        <v>3</v>
      </c>
      <c r="I52" s="1648">
        <v>4.7300000000000004</v>
      </c>
      <c r="J52" s="1648">
        <v>3.9</v>
      </c>
      <c r="K52" s="1648">
        <v>5.03</v>
      </c>
      <c r="L52" s="1649">
        <v>4.21</v>
      </c>
      <c r="N52" s="1624">
        <f t="shared" si="167"/>
        <v>4.7300000000000002E-2</v>
      </c>
      <c r="O52" s="1625">
        <f t="shared" si="167"/>
        <v>3.9E-2</v>
      </c>
      <c r="P52" s="1625">
        <f t="shared" si="167"/>
        <v>5.0300000000000004E-2</v>
      </c>
      <c r="Q52" s="1625">
        <f t="shared" si="167"/>
        <v>4.2099999999999999E-2</v>
      </c>
      <c r="R52" s="1626"/>
      <c r="S52" s="1624"/>
      <c r="T52" s="1625"/>
      <c r="U52" s="1625"/>
      <c r="V52" s="1625"/>
    </row>
    <row r="53" spans="1:32">
      <c r="A53" s="1619" t="s">
        <v>1655</v>
      </c>
      <c r="B53" s="1620">
        <f t="shared" si="177"/>
        <v>242.95398227588385</v>
      </c>
      <c r="C53" s="1620">
        <f t="shared" si="177"/>
        <v>199.59137053614126</v>
      </c>
      <c r="D53" s="1620">
        <f t="shared" si="165"/>
        <v>199.59137053614126</v>
      </c>
      <c r="E53" s="1620">
        <f t="shared" si="178"/>
        <v>335.92189522342125</v>
      </c>
      <c r="F53" s="1620">
        <f t="shared" si="178"/>
        <v>183.10139991109489</v>
      </c>
      <c r="G53" s="1891">
        <v>2010</v>
      </c>
      <c r="H53" s="1635">
        <v>2</v>
      </c>
      <c r="I53" s="1635">
        <v>4.6900000000000004</v>
      </c>
      <c r="J53" s="1635">
        <v>3.55</v>
      </c>
      <c r="K53" s="1635">
        <v>5.07</v>
      </c>
      <c r="L53" s="1642">
        <v>4.2300000000000004</v>
      </c>
      <c r="N53" s="1624">
        <f t="shared" si="167"/>
        <v>4.6900000000000004E-2</v>
      </c>
      <c r="O53" s="1625">
        <f t="shared" si="167"/>
        <v>3.5499999999999997E-2</v>
      </c>
      <c r="P53" s="1625">
        <f t="shared" si="167"/>
        <v>5.0700000000000002E-2</v>
      </c>
      <c r="Q53" s="1625">
        <f t="shared" si="167"/>
        <v>4.2300000000000004E-2</v>
      </c>
      <c r="R53" s="1626"/>
      <c r="S53" s="1624"/>
      <c r="T53" s="1625"/>
      <c r="U53" s="1625"/>
      <c r="V53" s="1625"/>
    </row>
    <row r="54" spans="1:32" ht="13.8" thickBot="1">
      <c r="A54" s="1619" t="s">
        <v>1656</v>
      </c>
      <c r="B54" s="1620">
        <f t="shared" si="177"/>
        <v>232.06990378821649</v>
      </c>
      <c r="C54" s="1620">
        <f t="shared" si="177"/>
        <v>192.74878854286936</v>
      </c>
      <c r="D54" s="1620">
        <f t="shared" si="165"/>
        <v>192.74878854286936</v>
      </c>
      <c r="E54" s="1620">
        <f t="shared" si="178"/>
        <v>319.71247284992984</v>
      </c>
      <c r="F54" s="1620">
        <f t="shared" si="178"/>
        <v>175.67053622862409</v>
      </c>
      <c r="G54" s="1892">
        <v>2010</v>
      </c>
      <c r="H54" s="1622">
        <v>1</v>
      </c>
      <c r="I54" s="1622">
        <v>5.4</v>
      </c>
      <c r="J54" s="1622">
        <v>3.2</v>
      </c>
      <c r="K54" s="1622">
        <v>6.16</v>
      </c>
      <c r="L54" s="1641">
        <v>4.51</v>
      </c>
      <c r="N54" s="1624">
        <f t="shared" si="167"/>
        <v>5.4000000000000006E-2</v>
      </c>
      <c r="O54" s="1625">
        <f t="shared" si="167"/>
        <v>3.2000000000000001E-2</v>
      </c>
      <c r="P54" s="1625">
        <f t="shared" si="167"/>
        <v>6.1600000000000002E-2</v>
      </c>
      <c r="Q54" s="1625">
        <f t="shared" si="167"/>
        <v>4.5100000000000001E-2</v>
      </c>
      <c r="R54" s="1626"/>
      <c r="S54" s="1627">
        <f>B54/B55-1</f>
        <v>5.4863199037347599E-2</v>
      </c>
      <c r="T54" s="1628">
        <f>C54/C55-1</f>
        <v>3.0742184721226584E-2</v>
      </c>
      <c r="U54" s="1628">
        <f>E54/E55-1</f>
        <v>6.2167683886810154E-2</v>
      </c>
      <c r="V54" s="1628">
        <f>F54/F55-1</f>
        <v>4.5657953741810031E-2</v>
      </c>
      <c r="AC54" s="1625"/>
      <c r="AD54" s="1625"/>
      <c r="AE54" s="1625"/>
      <c r="AF54" s="1625"/>
    </row>
    <row r="55" spans="1:32" ht="13.8" thickBot="1">
      <c r="A55" s="1619" t="s">
        <v>1657</v>
      </c>
      <c r="B55" s="1639">
        <v>220</v>
      </c>
      <c r="C55" s="1639">
        <v>187</v>
      </c>
      <c r="D55" s="1639">
        <f t="shared" si="165"/>
        <v>187</v>
      </c>
      <c r="E55" s="1639">
        <v>301</v>
      </c>
      <c r="F55" s="1640">
        <v>168</v>
      </c>
      <c r="G55" s="1890">
        <v>2009</v>
      </c>
      <c r="H55" s="1643">
        <v>4</v>
      </c>
      <c r="I55" s="1643">
        <v>2.2999999999999998</v>
      </c>
      <c r="J55" s="1643">
        <v>1.04</v>
      </c>
      <c r="K55" s="1643">
        <v>2.84</v>
      </c>
      <c r="L55" s="1644">
        <v>0.67</v>
      </c>
      <c r="N55" s="1645">
        <f t="shared" si="167"/>
        <v>2.3E-2</v>
      </c>
      <c r="O55" s="1646">
        <f t="shared" si="167"/>
        <v>1.04E-2</v>
      </c>
      <c r="P55" s="1646">
        <f t="shared" si="167"/>
        <v>2.8399999999999998E-2</v>
      </c>
      <c r="Q55" s="1646">
        <f t="shared" si="167"/>
        <v>6.7000000000000002E-3</v>
      </c>
      <c r="R55" s="1626"/>
      <c r="S55" s="1634"/>
      <c r="T55" s="1629"/>
      <c r="U55" s="1629"/>
      <c r="V55" s="1629"/>
      <c r="AC55" s="1629"/>
      <c r="AD55" s="1629"/>
      <c r="AE55" s="1629"/>
      <c r="AF55" s="1629"/>
    </row>
    <row r="56" spans="1:32">
      <c r="A56" s="1619" t="s">
        <v>1658</v>
      </c>
      <c r="B56" s="1620">
        <f t="shared" ref="B56:C58" si="179">B55/(1+N55)</f>
        <v>215.05376344086022</v>
      </c>
      <c r="C56" s="1620">
        <f t="shared" si="179"/>
        <v>185.0752177355503</v>
      </c>
      <c r="D56" s="1620">
        <f t="shared" si="165"/>
        <v>185.0752177355503</v>
      </c>
      <c r="E56" s="1620">
        <f t="shared" ref="E56:F58" si="180">E55/(1+P55)</f>
        <v>292.68767016725008</v>
      </c>
      <c r="F56" s="1620">
        <f t="shared" si="180"/>
        <v>166.88189132810174</v>
      </c>
      <c r="G56" s="1891">
        <v>2009</v>
      </c>
      <c r="H56" s="1648">
        <v>3</v>
      </c>
      <c r="I56" s="1648">
        <v>2.1</v>
      </c>
      <c r="J56" s="1648">
        <v>1.86</v>
      </c>
      <c r="K56" s="1648">
        <v>2.29</v>
      </c>
      <c r="L56" s="1649">
        <v>0.85</v>
      </c>
      <c r="N56" s="1624">
        <f t="shared" si="167"/>
        <v>2.1000000000000001E-2</v>
      </c>
      <c r="O56" s="1650">
        <f t="shared" si="167"/>
        <v>1.8600000000000002E-2</v>
      </c>
      <c r="P56" s="1650">
        <f t="shared" si="167"/>
        <v>2.29E-2</v>
      </c>
      <c r="Q56" s="1650">
        <f t="shared" si="167"/>
        <v>8.5000000000000006E-3</v>
      </c>
      <c r="R56" s="1626"/>
      <c r="S56" s="1624"/>
      <c r="T56" s="1625"/>
      <c r="U56" s="1625"/>
      <c r="V56" s="1625"/>
    </row>
    <row r="57" spans="1:32">
      <c r="A57" s="1619" t="s">
        <v>1659</v>
      </c>
      <c r="B57" s="1620">
        <f t="shared" si="179"/>
        <v>210.630522469011</v>
      </c>
      <c r="C57" s="1620">
        <f t="shared" si="179"/>
        <v>181.69567812247232</v>
      </c>
      <c r="D57" s="1620">
        <f t="shared" si="165"/>
        <v>181.69567812247232</v>
      </c>
      <c r="E57" s="1620">
        <f t="shared" si="180"/>
        <v>286.13517466736738</v>
      </c>
      <c r="F57" s="1620">
        <f t="shared" si="180"/>
        <v>165.47535084591149</v>
      </c>
      <c r="G57" s="1891">
        <v>2009</v>
      </c>
      <c r="H57" s="1635">
        <v>2</v>
      </c>
      <c r="I57" s="1635">
        <v>0.86</v>
      </c>
      <c r="J57" s="1635">
        <v>-1.1299999999999999</v>
      </c>
      <c r="K57" s="1635">
        <v>1.79</v>
      </c>
      <c r="L57" s="1642">
        <v>-2.0699999999999998</v>
      </c>
      <c r="N57" s="1624">
        <f t="shared" si="167"/>
        <v>8.6E-3</v>
      </c>
      <c r="O57" s="1650">
        <f t="shared" si="167"/>
        <v>-1.1299999999999999E-2</v>
      </c>
      <c r="P57" s="1650">
        <f t="shared" si="167"/>
        <v>1.7899999999999999E-2</v>
      </c>
      <c r="Q57" s="1650">
        <f t="shared" si="167"/>
        <v>-2.07E-2</v>
      </c>
      <c r="R57" s="1626"/>
      <c r="S57" s="1624"/>
      <c r="T57" s="1625"/>
      <c r="U57" s="1625"/>
      <c r="V57" s="1625"/>
    </row>
    <row r="58" spans="1:32">
      <c r="A58" s="1619" t="s">
        <v>1660</v>
      </c>
      <c r="B58" s="1620">
        <f t="shared" si="179"/>
        <v>208.83454537875372</v>
      </c>
      <c r="C58" s="1620">
        <f t="shared" si="179"/>
        <v>183.77230517090351</v>
      </c>
      <c r="D58" s="1620">
        <f t="shared" si="165"/>
        <v>183.77230517090351</v>
      </c>
      <c r="E58" s="1620">
        <f t="shared" si="180"/>
        <v>281.10342338870947</v>
      </c>
      <c r="F58" s="1620">
        <f t="shared" si="180"/>
        <v>168.97309388942256</v>
      </c>
      <c r="G58" s="1892">
        <v>2009</v>
      </c>
      <c r="H58" s="1622">
        <v>1</v>
      </c>
      <c r="I58" s="1622">
        <v>-2.64</v>
      </c>
      <c r="J58" s="1622">
        <v>-2.5299999999999998</v>
      </c>
      <c r="K58" s="1622">
        <v>-3.02</v>
      </c>
      <c r="L58" s="1641">
        <v>1.52</v>
      </c>
      <c r="N58" s="1627">
        <f t="shared" si="167"/>
        <v>-2.64E-2</v>
      </c>
      <c r="O58" s="1628">
        <f t="shared" si="167"/>
        <v>-2.53E-2</v>
      </c>
      <c r="P58" s="1628">
        <f t="shared" si="167"/>
        <v>-3.0200000000000001E-2</v>
      </c>
      <c r="Q58" s="1628">
        <f t="shared" si="167"/>
        <v>1.52E-2</v>
      </c>
      <c r="R58" s="1626"/>
      <c r="S58" s="1627">
        <f>B58/B59-1</f>
        <v>-2.4137638417038754E-2</v>
      </c>
      <c r="T58" s="1628">
        <f>C58/C59-1</f>
        <v>-2.248773845264096E-2</v>
      </c>
      <c r="U58" s="1628">
        <f>E58/E59-1</f>
        <v>-2.7323794502735366E-2</v>
      </c>
      <c r="V58" s="1628">
        <f>F58/F59-1</f>
        <v>1.7910204153148035E-2</v>
      </c>
      <c r="AC58" s="1625"/>
      <c r="AD58" s="1625"/>
      <c r="AE58" s="1625"/>
      <c r="AF58" s="1625"/>
    </row>
    <row r="59" spans="1:32" ht="13.8" thickBot="1">
      <c r="A59" s="1619" t="s">
        <v>1661</v>
      </c>
      <c r="B59" s="1667">
        <v>214</v>
      </c>
      <c r="C59" s="1667">
        <v>188</v>
      </c>
      <c r="D59" s="1667">
        <f t="shared" si="165"/>
        <v>188</v>
      </c>
      <c r="E59" s="1667">
        <v>289</v>
      </c>
      <c r="F59" s="1668">
        <v>166</v>
      </c>
      <c r="G59" s="1890">
        <v>2008</v>
      </c>
      <c r="H59" s="1643">
        <v>4</v>
      </c>
      <c r="I59" s="1643">
        <v>1.73</v>
      </c>
      <c r="J59" s="1643">
        <v>0.03</v>
      </c>
      <c r="K59" s="1643">
        <v>2.59</v>
      </c>
      <c r="L59" s="1644">
        <v>-1.66</v>
      </c>
      <c r="N59" s="1624">
        <f t="shared" si="167"/>
        <v>1.7299999999999999E-2</v>
      </c>
      <c r="O59" s="1625">
        <f t="shared" si="167"/>
        <v>2.9999999999999997E-4</v>
      </c>
      <c r="P59" s="1625">
        <f t="shared" si="167"/>
        <v>2.5899999999999999E-2</v>
      </c>
      <c r="Q59" s="1625">
        <f t="shared" si="167"/>
        <v>-1.66E-2</v>
      </c>
      <c r="R59" s="1626"/>
      <c r="S59" s="1634"/>
      <c r="T59" s="1629"/>
      <c r="U59" s="1629"/>
      <c r="V59" s="1629"/>
      <c r="AC59" s="1629"/>
      <c r="AD59" s="1629"/>
      <c r="AE59" s="1629"/>
      <c r="AF59" s="1629"/>
    </row>
    <row r="60" spans="1:32">
      <c r="A60" s="1619" t="s">
        <v>1662</v>
      </c>
      <c r="B60" s="1620">
        <f t="shared" ref="B60:C62" si="181">B59/(1+N59)</f>
        <v>210.36075887152265</v>
      </c>
      <c r="C60" s="1620">
        <f t="shared" si="181"/>
        <v>187.94361691492554</v>
      </c>
      <c r="D60" s="1620">
        <f t="shared" si="165"/>
        <v>187.94361691492554</v>
      </c>
      <c r="E60" s="1620">
        <f t="shared" ref="E60:F62" si="182">E59/(1+P59)</f>
        <v>281.70386977288234</v>
      </c>
      <c r="F60" s="1620">
        <f t="shared" si="182"/>
        <v>168.80211511083994</v>
      </c>
      <c r="G60" s="1891">
        <v>2008</v>
      </c>
      <c r="H60" s="1648">
        <v>3</v>
      </c>
      <c r="I60" s="1648">
        <v>1.96</v>
      </c>
      <c r="J60" s="1648">
        <v>2.36</v>
      </c>
      <c r="K60" s="1648">
        <v>1.82</v>
      </c>
      <c r="L60" s="1649">
        <v>2.2200000000000002</v>
      </c>
      <c r="N60" s="1624">
        <f t="shared" si="167"/>
        <v>1.9599999999999999E-2</v>
      </c>
      <c r="O60" s="1625">
        <f t="shared" si="167"/>
        <v>2.3599999999999999E-2</v>
      </c>
      <c r="P60" s="1625">
        <f t="shared" si="167"/>
        <v>1.8200000000000001E-2</v>
      </c>
      <c r="Q60" s="1625">
        <f t="shared" si="167"/>
        <v>2.2200000000000001E-2</v>
      </c>
      <c r="R60" s="1626"/>
      <c r="S60" s="1624"/>
      <c r="T60" s="1625"/>
      <c r="U60" s="1625"/>
      <c r="V60" s="1625"/>
    </row>
    <row r="61" spans="1:32">
      <c r="A61" s="1619" t="s">
        <v>1663</v>
      </c>
      <c r="B61" s="1620">
        <f t="shared" si="181"/>
        <v>206.31694671589116</v>
      </c>
      <c r="C61" s="1620">
        <f t="shared" si="181"/>
        <v>183.61041121036101</v>
      </c>
      <c r="D61" s="1620">
        <f t="shared" si="165"/>
        <v>183.61041121036101</v>
      </c>
      <c r="E61" s="1620">
        <f t="shared" si="182"/>
        <v>276.66850301795557</v>
      </c>
      <c r="F61" s="1620">
        <f t="shared" si="182"/>
        <v>165.1360938278614</v>
      </c>
      <c r="G61" s="1891">
        <v>2008</v>
      </c>
      <c r="H61" s="1635">
        <v>2</v>
      </c>
      <c r="I61" s="1635">
        <v>4.93</v>
      </c>
      <c r="J61" s="1635">
        <v>7.38</v>
      </c>
      <c r="K61" s="1635">
        <v>3.98</v>
      </c>
      <c r="L61" s="1642">
        <v>6.86</v>
      </c>
      <c r="N61" s="1624">
        <f t="shared" si="167"/>
        <v>4.9299999999999997E-2</v>
      </c>
      <c r="O61" s="1625">
        <f t="shared" si="167"/>
        <v>7.3800000000000004E-2</v>
      </c>
      <c r="P61" s="1625">
        <f t="shared" si="167"/>
        <v>3.9800000000000002E-2</v>
      </c>
      <c r="Q61" s="1625">
        <f t="shared" si="167"/>
        <v>6.8600000000000008E-2</v>
      </c>
      <c r="R61" s="1626"/>
      <c r="S61" s="1624"/>
      <c r="T61" s="1625"/>
      <c r="U61" s="1625"/>
      <c r="V61" s="1625"/>
    </row>
    <row r="62" spans="1:32" s="1673" customFormat="1" ht="13.8" thickBot="1">
      <c r="A62" s="1619" t="s">
        <v>1664</v>
      </c>
      <c r="B62" s="1670">
        <f t="shared" si="181"/>
        <v>196.62341248059772</v>
      </c>
      <c r="C62" s="1670">
        <f t="shared" si="181"/>
        <v>170.99125648199012</v>
      </c>
      <c r="D62" s="1670">
        <f t="shared" si="165"/>
        <v>170.99125648199012</v>
      </c>
      <c r="E62" s="1670">
        <f t="shared" si="182"/>
        <v>266.07857570490052</v>
      </c>
      <c r="F62" s="1670">
        <f t="shared" si="182"/>
        <v>154.53499328828505</v>
      </c>
      <c r="G62" s="1892">
        <v>2008</v>
      </c>
      <c r="H62" s="1671">
        <v>1</v>
      </c>
      <c r="I62" s="1671">
        <v>4.1399999999999997</v>
      </c>
      <c r="J62" s="1671">
        <v>3.45</v>
      </c>
      <c r="K62" s="1671">
        <v>4.95</v>
      </c>
      <c r="L62" s="1672">
        <v>4.82</v>
      </c>
      <c r="N62" s="1674">
        <f t="shared" si="167"/>
        <v>4.1399999999999999E-2</v>
      </c>
      <c r="O62" s="1675">
        <f t="shared" si="167"/>
        <v>3.4500000000000003E-2</v>
      </c>
      <c r="P62" s="1675">
        <f t="shared" si="167"/>
        <v>4.9500000000000002E-2</v>
      </c>
      <c r="Q62" s="1675">
        <f t="shared" si="167"/>
        <v>4.82E-2</v>
      </c>
      <c r="R62" s="1676"/>
      <c r="S62" s="1674">
        <f>B62/B63-1</f>
        <v>4.5869215322328349E-2</v>
      </c>
      <c r="T62" s="1675">
        <f>C62/C63-1</f>
        <v>3.6310645345394743E-2</v>
      </c>
      <c r="U62" s="1675">
        <f>E62/E63-1</f>
        <v>4.7553447657088688E-2</v>
      </c>
      <c r="V62" s="1675">
        <f>F62/F63-1</f>
        <v>4.4155360055980086E-2</v>
      </c>
      <c r="AC62" s="1675"/>
      <c r="AD62" s="1675"/>
      <c r="AE62" s="1675"/>
      <c r="AF62" s="1675"/>
    </row>
    <row r="63" spans="1:32" ht="13.8" thickBot="1">
      <c r="A63" s="1619" t="s">
        <v>1665</v>
      </c>
      <c r="B63" s="1639">
        <v>188</v>
      </c>
      <c r="C63" s="1639">
        <v>165</v>
      </c>
      <c r="D63" s="1639">
        <f t="shared" si="165"/>
        <v>165</v>
      </c>
      <c r="E63" s="1639">
        <v>254</v>
      </c>
      <c r="F63" s="1640">
        <v>148</v>
      </c>
      <c r="G63" s="1890">
        <v>2007</v>
      </c>
      <c r="H63" s="1677">
        <v>4</v>
      </c>
      <c r="I63" s="1677">
        <v>5.51</v>
      </c>
      <c r="J63" s="1677">
        <v>4.8899999999999997</v>
      </c>
      <c r="K63" s="1677">
        <v>6.43</v>
      </c>
      <c r="L63" s="1678">
        <v>5.36</v>
      </c>
      <c r="N63" s="1679">
        <f t="shared" ref="N63:O66" si="183">B63/B64-1</f>
        <v>4.1339718365245526E-2</v>
      </c>
      <c r="O63" s="1680">
        <f t="shared" si="183"/>
        <v>4.0324492593776018E-2</v>
      </c>
      <c r="P63" s="1680">
        <f t="shared" ref="P63:Q66" si="184">E63/E64-1</f>
        <v>6.1625555347990968E-2</v>
      </c>
      <c r="Q63" s="1680">
        <f t="shared" si="184"/>
        <v>4.6757569250590603E-2</v>
      </c>
      <c r="R63" s="1626"/>
      <c r="S63" s="1634"/>
      <c r="T63" s="1629"/>
      <c r="U63" s="1629"/>
      <c r="V63" s="1629"/>
      <c r="AC63" s="1629"/>
      <c r="AD63" s="1629"/>
      <c r="AE63" s="1629"/>
      <c r="AF63" s="1629"/>
    </row>
    <row r="64" spans="1:32">
      <c r="A64" s="1619" t="s">
        <v>1666</v>
      </c>
      <c r="B64" s="1620">
        <f t="shared" ref="B64:C66" si="185">B65+(B$63-B$67)*I64/SUM(I$63:I$66)</f>
        <v>180.5366651097618</v>
      </c>
      <c r="C64" s="1620">
        <f t="shared" si="185"/>
        <v>158.60435967302453</v>
      </c>
      <c r="D64" s="1620">
        <f t="shared" si="165"/>
        <v>158.60435967302453</v>
      </c>
      <c r="E64" s="1620">
        <f t="shared" ref="E64:F66" si="186">E65+(E$63-E$67)*K64/SUM(K$63:K$66)</f>
        <v>239.25573260785075</v>
      </c>
      <c r="F64" s="1620">
        <f t="shared" si="186"/>
        <v>141.38899430740037</v>
      </c>
      <c r="G64" s="1891">
        <v>2007</v>
      </c>
      <c r="H64" s="1648">
        <v>3</v>
      </c>
      <c r="I64" s="1648">
        <v>8.65</v>
      </c>
      <c r="J64" s="1648">
        <v>8.06</v>
      </c>
      <c r="K64" s="1648">
        <v>9.94</v>
      </c>
      <c r="L64" s="1649">
        <v>5.8</v>
      </c>
      <c r="N64" s="1679">
        <f t="shared" si="183"/>
        <v>6.940217571740015E-2</v>
      </c>
      <c r="O64" s="1680">
        <f t="shared" si="183"/>
        <v>7.1197482471153428E-2</v>
      </c>
      <c r="P64" s="1680">
        <f t="shared" si="184"/>
        <v>0.10529679922579582</v>
      </c>
      <c r="Q64" s="1680">
        <f t="shared" si="184"/>
        <v>5.3292245059512133E-2</v>
      </c>
      <c r="R64" s="1626"/>
      <c r="S64" s="1624"/>
      <c r="T64" s="1625"/>
      <c r="U64" s="1625"/>
      <c r="V64" s="1625"/>
      <c r="AC64" s="1681"/>
      <c r="AD64" s="1681"/>
      <c r="AE64" s="1681"/>
      <c r="AF64" s="1681"/>
    </row>
    <row r="65" spans="1:32">
      <c r="A65" s="1619" t="s">
        <v>1667</v>
      </c>
      <c r="B65" s="1620">
        <f t="shared" si="185"/>
        <v>168.82017748715555</v>
      </c>
      <c r="C65" s="1620">
        <f t="shared" si="185"/>
        <v>148.06267029972753</v>
      </c>
      <c r="D65" s="1620">
        <f t="shared" si="165"/>
        <v>148.06267029972753</v>
      </c>
      <c r="E65" s="1620">
        <f t="shared" si="186"/>
        <v>216.46288379323747</v>
      </c>
      <c r="F65" s="1620">
        <f t="shared" si="186"/>
        <v>134.23529411764704</v>
      </c>
      <c r="G65" s="1891">
        <v>2007</v>
      </c>
      <c r="H65" s="1635">
        <v>2</v>
      </c>
      <c r="I65" s="1635">
        <v>3.67</v>
      </c>
      <c r="J65" s="1635">
        <v>2.3199999999999998</v>
      </c>
      <c r="K65" s="1635">
        <v>5.0199999999999996</v>
      </c>
      <c r="L65" s="1642">
        <v>6.71</v>
      </c>
      <c r="N65" s="1679">
        <f t="shared" si="183"/>
        <v>3.0339138143848032E-2</v>
      </c>
      <c r="O65" s="1680">
        <f t="shared" si="183"/>
        <v>2.0922341588790472E-2</v>
      </c>
      <c r="P65" s="1680">
        <f t="shared" si="184"/>
        <v>5.6164796592717003E-2</v>
      </c>
      <c r="Q65" s="1680">
        <f t="shared" si="184"/>
        <v>6.5704536723887319E-2</v>
      </c>
      <c r="R65" s="1626"/>
      <c r="S65" s="1624"/>
      <c r="T65" s="1625"/>
      <c r="U65" s="1625"/>
      <c r="V65" s="1625"/>
      <c r="AC65" s="1681"/>
      <c r="AD65" s="1681"/>
      <c r="AE65" s="1681"/>
      <c r="AF65" s="1681"/>
    </row>
    <row r="66" spans="1:32">
      <c r="A66" s="1619" t="s">
        <v>1668</v>
      </c>
      <c r="B66" s="1620">
        <f t="shared" si="185"/>
        <v>163.84913591779542</v>
      </c>
      <c r="C66" s="1620">
        <f t="shared" si="185"/>
        <v>145.0283378746594</v>
      </c>
      <c r="D66" s="1620">
        <f t="shared" si="165"/>
        <v>145.0283378746594</v>
      </c>
      <c r="E66" s="1620">
        <f t="shared" si="186"/>
        <v>204.95180722891567</v>
      </c>
      <c r="F66" s="1620">
        <f t="shared" si="186"/>
        <v>125.95920303605313</v>
      </c>
      <c r="G66" s="1892">
        <v>2007</v>
      </c>
      <c r="H66" s="1622">
        <v>1</v>
      </c>
      <c r="I66" s="1622">
        <v>3.58</v>
      </c>
      <c r="J66" s="1622">
        <v>3.08</v>
      </c>
      <c r="K66" s="1622">
        <v>4.34</v>
      </c>
      <c r="L66" s="1641">
        <v>3.21</v>
      </c>
      <c r="N66" s="1682">
        <f t="shared" si="183"/>
        <v>3.0497710174814063E-2</v>
      </c>
      <c r="O66" s="1683">
        <f t="shared" si="183"/>
        <v>2.8569772160704998E-2</v>
      </c>
      <c r="P66" s="1683">
        <f t="shared" si="184"/>
        <v>5.1034908866234296E-2</v>
      </c>
      <c r="Q66" s="1683">
        <f t="shared" si="184"/>
        <v>3.245248390207478E-2</v>
      </c>
      <c r="R66" s="1626"/>
      <c r="S66" s="1627">
        <f>B66/B67-1</f>
        <v>3.0497710174814063E-2</v>
      </c>
      <c r="T66" s="1628">
        <f>C66/C67-1</f>
        <v>2.8569772160704998E-2</v>
      </c>
      <c r="U66" s="1628">
        <f>E66/E67-1</f>
        <v>5.1034908866234296E-2</v>
      </c>
      <c r="V66" s="1628">
        <f>F66/F67-1</f>
        <v>3.245248390207478E-2</v>
      </c>
      <c r="AC66" s="1681"/>
      <c r="AD66" s="1681"/>
      <c r="AE66" s="1681"/>
      <c r="AF66" s="1681"/>
    </row>
    <row r="67" spans="1:32" ht="13.8" thickBot="1">
      <c r="A67" s="1619" t="s">
        <v>1669</v>
      </c>
      <c r="B67" s="1651">
        <v>159</v>
      </c>
      <c r="C67" s="1651">
        <v>141</v>
      </c>
      <c r="D67" s="1651">
        <f t="shared" si="165"/>
        <v>141</v>
      </c>
      <c r="E67" s="1651">
        <v>195</v>
      </c>
      <c r="F67" s="1652">
        <v>122</v>
      </c>
      <c r="G67" s="1890">
        <v>2006</v>
      </c>
      <c r="H67" s="1643">
        <v>4</v>
      </c>
      <c r="I67" s="1643">
        <v>3.79</v>
      </c>
      <c r="J67" s="1643">
        <v>2.21</v>
      </c>
      <c r="K67" s="1643">
        <v>5.65</v>
      </c>
      <c r="L67" s="1644">
        <v>5.41</v>
      </c>
      <c r="N67" s="1679">
        <f t="shared" ref="N67:O70" si="187">I67/SUM(I$67:I$70)*(B$67/B$71-1)</f>
        <v>7.245466462748526E-2</v>
      </c>
      <c r="O67" s="1680">
        <f t="shared" si="187"/>
        <v>2.3237230038062766E-2</v>
      </c>
      <c r="P67" s="1680">
        <f t="shared" ref="P67:Q70" si="188">K67/SUM(K$67:K$70)*(E$67/E$71-1)</f>
        <v>0.16146893866323722</v>
      </c>
      <c r="Q67" s="1680">
        <f t="shared" si="188"/>
        <v>5.0755230321793784E-2</v>
      </c>
      <c r="R67" s="1626"/>
      <c r="S67" s="1634"/>
      <c r="T67" s="1629"/>
      <c r="U67" s="1629"/>
      <c r="V67" s="1629"/>
      <c r="AC67" s="1681"/>
      <c r="AD67" s="1681"/>
      <c r="AE67" s="1681"/>
      <c r="AF67" s="1681"/>
    </row>
    <row r="68" spans="1:32">
      <c r="A68" s="1619" t="s">
        <v>1670</v>
      </c>
      <c r="B68" s="1620">
        <f t="shared" ref="B68:C70" si="189">B69+(B$67-B$71)*I68/SUM(I$67:I$70)</f>
        <v>149.00125628140702</v>
      </c>
      <c r="C68" s="1620">
        <f t="shared" si="189"/>
        <v>137.95592286501378</v>
      </c>
      <c r="D68" s="1620">
        <f t="shared" si="165"/>
        <v>137.95592286501378</v>
      </c>
      <c r="E68" s="1620">
        <f t="shared" ref="E68:F70" si="190">E69+(E$67-E$71)*K68/SUM(K$67:K$70)</f>
        <v>169.97231450719823</v>
      </c>
      <c r="F68" s="1620">
        <f t="shared" si="190"/>
        <v>116.21390374331551</v>
      </c>
      <c r="G68" s="1891">
        <v>2006</v>
      </c>
      <c r="H68" s="1648">
        <v>3</v>
      </c>
      <c r="I68" s="1648">
        <v>0.92</v>
      </c>
      <c r="J68" s="1648">
        <v>1.08</v>
      </c>
      <c r="K68" s="1648">
        <v>0.73</v>
      </c>
      <c r="L68" s="1649">
        <v>1.08</v>
      </c>
      <c r="N68" s="1679">
        <f t="shared" si="187"/>
        <v>1.7587939698492462E-2</v>
      </c>
      <c r="O68" s="1680">
        <f t="shared" si="187"/>
        <v>1.1355750425840628E-2</v>
      </c>
      <c r="P68" s="1680">
        <f t="shared" si="188"/>
        <v>2.0862358446754544E-2</v>
      </c>
      <c r="Q68" s="1680">
        <f t="shared" si="188"/>
        <v>1.0132282578103011E-2</v>
      </c>
      <c r="R68" s="1626"/>
      <c r="S68" s="1624"/>
      <c r="T68" s="1625"/>
      <c r="U68" s="1625"/>
      <c r="V68" s="1625"/>
      <c r="AC68" s="1681"/>
      <c r="AD68" s="1681"/>
      <c r="AE68" s="1681"/>
      <c r="AF68" s="1681"/>
    </row>
    <row r="69" spans="1:32">
      <c r="A69" s="1619" t="s">
        <v>1671</v>
      </c>
      <c r="B69" s="1620">
        <f t="shared" si="189"/>
        <v>146.57412060301507</v>
      </c>
      <c r="C69" s="1620">
        <f t="shared" si="189"/>
        <v>136.46831955922866</v>
      </c>
      <c r="D69" s="1620">
        <f t="shared" si="165"/>
        <v>136.46831955922866</v>
      </c>
      <c r="E69" s="1620">
        <f t="shared" si="190"/>
        <v>166.73864894795128</v>
      </c>
      <c r="F69" s="1620">
        <f t="shared" si="190"/>
        <v>115.05882352941177</v>
      </c>
      <c r="G69" s="1891">
        <v>2006</v>
      </c>
      <c r="H69" s="1635">
        <v>2</v>
      </c>
      <c r="I69" s="1635">
        <v>0.96</v>
      </c>
      <c r="J69" s="1635">
        <v>0.25</v>
      </c>
      <c r="K69" s="1635">
        <v>1.9</v>
      </c>
      <c r="L69" s="1642">
        <v>0.95</v>
      </c>
      <c r="N69" s="1679">
        <f t="shared" si="187"/>
        <v>1.8352632728861701E-2</v>
      </c>
      <c r="O69" s="1680">
        <f t="shared" si="187"/>
        <v>2.6286459319075526E-3</v>
      </c>
      <c r="P69" s="1680">
        <f t="shared" si="188"/>
        <v>5.4299289107991269E-2</v>
      </c>
      <c r="Q69" s="1680">
        <f t="shared" si="188"/>
        <v>8.9126559714794995E-3</v>
      </c>
      <c r="R69" s="1626"/>
      <c r="S69" s="1624"/>
      <c r="T69" s="1625"/>
      <c r="U69" s="1625"/>
      <c r="V69" s="1625"/>
      <c r="AC69" s="1681"/>
      <c r="AD69" s="1681"/>
      <c r="AE69" s="1681"/>
      <c r="AF69" s="1681"/>
    </row>
    <row r="70" spans="1:32">
      <c r="A70" s="1619" t="s">
        <v>1672</v>
      </c>
      <c r="B70" s="1620">
        <f t="shared" si="189"/>
        <v>144.04145728643215</v>
      </c>
      <c r="C70" s="1620">
        <f t="shared" si="189"/>
        <v>136.12396694214877</v>
      </c>
      <c r="D70" s="1620">
        <f t="shared" si="165"/>
        <v>136.12396694214877</v>
      </c>
      <c r="E70" s="1620">
        <f t="shared" si="190"/>
        <v>158.32225913621264</v>
      </c>
      <c r="F70" s="1620">
        <f t="shared" si="190"/>
        <v>114.04278074866311</v>
      </c>
      <c r="G70" s="1892">
        <v>2006</v>
      </c>
      <c r="H70" s="1622">
        <v>1</v>
      </c>
      <c r="I70" s="1622">
        <v>2.29</v>
      </c>
      <c r="J70" s="1622">
        <v>3.72</v>
      </c>
      <c r="K70" s="1622">
        <v>0.75</v>
      </c>
      <c r="L70" s="1641">
        <v>0.04</v>
      </c>
      <c r="N70" s="1682">
        <f t="shared" si="187"/>
        <v>4.3778675988638847E-2</v>
      </c>
      <c r="O70" s="1683">
        <f t="shared" si="187"/>
        <v>3.9114251466784385E-2</v>
      </c>
      <c r="P70" s="1683">
        <f t="shared" si="188"/>
        <v>2.1433929911049188E-2</v>
      </c>
      <c r="Q70" s="1683">
        <f t="shared" si="188"/>
        <v>3.7526972511492629E-4</v>
      </c>
      <c r="R70" s="1626"/>
      <c r="S70" s="1627">
        <f>B70/B71-1</f>
        <v>4.3778675988638716E-2</v>
      </c>
      <c r="T70" s="1628">
        <f>C70/C71-1</f>
        <v>3.91142514667846E-2</v>
      </c>
      <c r="U70" s="1628">
        <f>E70/E71-1</f>
        <v>2.143392991104931E-2</v>
      </c>
      <c r="V70" s="1628">
        <f>F70/F71-1</f>
        <v>3.7526972511492396E-4</v>
      </c>
      <c r="AC70" s="1681"/>
      <c r="AD70" s="1681"/>
      <c r="AE70" s="1681"/>
      <c r="AF70" s="1681"/>
    </row>
    <row r="71" spans="1:32" ht="13.8" thickBot="1">
      <c r="A71" s="1619" t="s">
        <v>1673</v>
      </c>
      <c r="B71" s="1651">
        <v>138</v>
      </c>
      <c r="C71" s="1651">
        <v>131</v>
      </c>
      <c r="D71" s="1651">
        <f t="shared" si="165"/>
        <v>131</v>
      </c>
      <c r="E71" s="1651">
        <v>155</v>
      </c>
      <c r="F71" s="1652">
        <v>114</v>
      </c>
      <c r="G71" s="1890">
        <v>2005</v>
      </c>
      <c r="H71" s="1643">
        <v>4</v>
      </c>
      <c r="I71" s="1643">
        <v>3.29</v>
      </c>
      <c r="J71" s="1643">
        <v>1.44</v>
      </c>
      <c r="K71" s="1643">
        <v>0.66</v>
      </c>
      <c r="L71" s="1644">
        <v>7.78</v>
      </c>
      <c r="N71" s="1679">
        <f t="shared" ref="N71:O74" si="191">I71/SUM(I$71:I$74)*(B$71/B$75-1)</f>
        <v>9.9404603216919935E-2</v>
      </c>
      <c r="O71" s="1680">
        <f t="shared" si="191"/>
        <v>4.7636550760861554E-2</v>
      </c>
      <c r="P71" s="1680">
        <f t="shared" ref="P71:Q74" si="192">K71/SUM(K$71:K$74)*(E$71/E$75-1)</f>
        <v>8.3756345177664976E-2</v>
      </c>
      <c r="Q71" s="1680">
        <f t="shared" si="192"/>
        <v>5.2148766661559584E-2</v>
      </c>
      <c r="R71" s="1626"/>
      <c r="S71" s="1634"/>
      <c r="T71" s="1629"/>
      <c r="U71" s="1629"/>
      <c r="V71" s="1629"/>
      <c r="AC71" s="1681"/>
      <c r="AD71" s="1681"/>
      <c r="AE71" s="1681"/>
      <c r="AF71" s="1681"/>
    </row>
    <row r="72" spans="1:32">
      <c r="A72" s="1619" t="s">
        <v>1674</v>
      </c>
      <c r="B72" s="1620">
        <f t="shared" ref="B72:C74" si="193">B73+(B$71-B$75)*I72/SUM(I$71:I$74)</f>
        <v>125.9720430107527</v>
      </c>
      <c r="C72" s="1620">
        <f t="shared" si="193"/>
        <v>125.1883408071749</v>
      </c>
      <c r="D72" s="1620">
        <f t="shared" si="165"/>
        <v>125.1883408071749</v>
      </c>
      <c r="E72" s="1620">
        <f t="shared" ref="E72:F74" si="194">E73+(E$71-E$75)*K72/SUM(K$71:K$74)</f>
        <v>144.61421319796952</v>
      </c>
      <c r="F72" s="1620">
        <f t="shared" si="194"/>
        <v>108.42008196721311</v>
      </c>
      <c r="G72" s="1891">
        <v>2005</v>
      </c>
      <c r="H72" s="1648">
        <v>3</v>
      </c>
      <c r="I72" s="1648">
        <v>0.46</v>
      </c>
      <c r="J72" s="1648">
        <v>0.32</v>
      </c>
      <c r="K72" s="1648">
        <v>0.42</v>
      </c>
      <c r="L72" s="1649">
        <v>0.64</v>
      </c>
      <c r="N72" s="1679">
        <f t="shared" si="191"/>
        <v>1.3898515951301874E-2</v>
      </c>
      <c r="O72" s="1680">
        <f t="shared" si="191"/>
        <v>1.0585900169080346E-2</v>
      </c>
      <c r="P72" s="1680">
        <f t="shared" si="192"/>
        <v>5.3299492385786795E-2</v>
      </c>
      <c r="Q72" s="1680">
        <f t="shared" si="192"/>
        <v>4.2898728359123568E-3</v>
      </c>
      <c r="R72" s="1626"/>
      <c r="S72" s="1624"/>
      <c r="T72" s="1625"/>
      <c r="U72" s="1625"/>
      <c r="V72" s="1625"/>
      <c r="AC72" s="1681"/>
      <c r="AD72" s="1681"/>
      <c r="AE72" s="1681"/>
      <c r="AF72" s="1681"/>
    </row>
    <row r="73" spans="1:32">
      <c r="A73" s="1619" t="s">
        <v>1675</v>
      </c>
      <c r="B73" s="1620">
        <f t="shared" si="193"/>
        <v>124.29032258064517</v>
      </c>
      <c r="C73" s="1620">
        <f t="shared" si="193"/>
        <v>123.8968609865471</v>
      </c>
      <c r="D73" s="1620">
        <f t="shared" si="165"/>
        <v>123.8968609865471</v>
      </c>
      <c r="E73" s="1620">
        <f t="shared" si="194"/>
        <v>138.00507614213197</v>
      </c>
      <c r="F73" s="1620">
        <f t="shared" si="194"/>
        <v>107.96106557377048</v>
      </c>
      <c r="G73" s="1891">
        <v>2005</v>
      </c>
      <c r="H73" s="1635">
        <v>2</v>
      </c>
      <c r="I73" s="1635">
        <v>0.47</v>
      </c>
      <c r="J73" s="1635">
        <v>0.1</v>
      </c>
      <c r="K73" s="1635">
        <v>0.52</v>
      </c>
      <c r="L73" s="1642">
        <v>0.79</v>
      </c>
      <c r="N73" s="1679">
        <f t="shared" si="191"/>
        <v>1.420065760241713E-2</v>
      </c>
      <c r="O73" s="1680">
        <f t="shared" si="191"/>
        <v>3.3080938028376083E-3</v>
      </c>
      <c r="P73" s="1680">
        <f t="shared" si="192"/>
        <v>6.598984771573603E-2</v>
      </c>
      <c r="Q73" s="1680">
        <f t="shared" si="192"/>
        <v>5.2953117818293153E-3</v>
      </c>
      <c r="R73" s="1626"/>
      <c r="S73" s="1624"/>
      <c r="T73" s="1625"/>
      <c r="U73" s="1625"/>
      <c r="V73" s="1625"/>
      <c r="AC73" s="1681"/>
      <c r="AD73" s="1681"/>
      <c r="AE73" s="1681"/>
      <c r="AF73" s="1681"/>
    </row>
    <row r="74" spans="1:32">
      <c r="A74" s="1619" t="s">
        <v>1676</v>
      </c>
      <c r="B74" s="1620">
        <f t="shared" si="193"/>
        <v>122.57204301075269</v>
      </c>
      <c r="C74" s="1620">
        <f t="shared" si="193"/>
        <v>123.4932735426009</v>
      </c>
      <c r="D74" s="1620">
        <f t="shared" si="165"/>
        <v>123.4932735426009</v>
      </c>
      <c r="E74" s="1620">
        <f t="shared" si="194"/>
        <v>129.82233502538071</v>
      </c>
      <c r="F74" s="1620">
        <f t="shared" si="194"/>
        <v>107.39446721311475</v>
      </c>
      <c r="G74" s="1892">
        <v>2005</v>
      </c>
      <c r="H74" s="1622">
        <v>1</v>
      </c>
      <c r="I74" s="1622">
        <v>0.43</v>
      </c>
      <c r="J74" s="1622">
        <v>0.37</v>
      </c>
      <c r="K74" s="1622">
        <v>0.37</v>
      </c>
      <c r="L74" s="1641">
        <v>0.55000000000000004</v>
      </c>
      <c r="N74" s="1682">
        <f t="shared" si="191"/>
        <v>1.2992090997956099E-2</v>
      </c>
      <c r="O74" s="1683">
        <f t="shared" si="191"/>
        <v>1.2239947070499151E-2</v>
      </c>
      <c r="P74" s="1683">
        <f t="shared" si="192"/>
        <v>4.6954314720812178E-2</v>
      </c>
      <c r="Q74" s="1683">
        <f t="shared" si="192"/>
        <v>3.6866094683621815E-3</v>
      </c>
      <c r="R74" s="1626"/>
      <c r="S74" s="1627">
        <f>B74/B75-1</f>
        <v>1.2992090997956174E-2</v>
      </c>
      <c r="T74" s="1628">
        <f>C74/C75-1</f>
        <v>1.2239947070499246E-2</v>
      </c>
      <c r="U74" s="1628">
        <f>E74/E75-1</f>
        <v>4.695431472081224E-2</v>
      </c>
      <c r="V74" s="1628">
        <f>F74/F75-1</f>
        <v>3.6866094683620787E-3</v>
      </c>
      <c r="AC74" s="1681"/>
      <c r="AD74" s="1681"/>
      <c r="AE74" s="1681"/>
      <c r="AF74" s="1681"/>
    </row>
    <row r="75" spans="1:32" ht="13.8" thickBot="1">
      <c r="A75" s="1619" t="s">
        <v>1677</v>
      </c>
      <c r="B75" s="1667">
        <v>121</v>
      </c>
      <c r="C75" s="1667">
        <v>122</v>
      </c>
      <c r="D75" s="1667">
        <f t="shared" si="165"/>
        <v>122</v>
      </c>
      <c r="E75" s="1667">
        <v>124</v>
      </c>
      <c r="F75" s="1668">
        <v>107</v>
      </c>
      <c r="G75" s="1890">
        <v>2004</v>
      </c>
      <c r="H75" s="1643">
        <v>4</v>
      </c>
      <c r="I75" s="1643">
        <v>0.33</v>
      </c>
      <c r="J75" s="1643">
        <v>0.5</v>
      </c>
      <c r="K75" s="1643">
        <v>0.5</v>
      </c>
      <c r="L75" s="1644">
        <v>0</v>
      </c>
      <c r="N75" s="1679">
        <f t="shared" ref="N75:O78" si="195">I75/SUM(I$75:I$78)*(B$75/B$79-1)</f>
        <v>1.3391770148526898E-2</v>
      </c>
      <c r="O75" s="1680">
        <f t="shared" si="195"/>
        <v>1.063264221158958E-2</v>
      </c>
      <c r="P75" s="1680">
        <f t="shared" ref="P75:Q78" si="196">K75/SUM(K$75:K$78)*(E$75/E$79-1)</f>
        <v>2.2244466688911134E-2</v>
      </c>
      <c r="Q75" s="1680">
        <f t="shared" si="196"/>
        <v>0</v>
      </c>
      <c r="R75" s="1626"/>
      <c r="S75" s="1634"/>
      <c r="T75" s="1629"/>
      <c r="U75" s="1629"/>
      <c r="V75" s="1629"/>
      <c r="AC75" s="1681"/>
      <c r="AD75" s="1681"/>
      <c r="AE75" s="1681"/>
      <c r="AF75" s="1681"/>
    </row>
    <row r="76" spans="1:32">
      <c r="A76" s="1619" t="s">
        <v>1678</v>
      </c>
      <c r="B76" s="1620">
        <f t="shared" ref="B76:C78" si="197">B77+(B$75-B$79)*I76/SUM(I$75:I$78)</f>
        <v>119.51351351351352</v>
      </c>
      <c r="C76" s="1620">
        <f t="shared" si="197"/>
        <v>120.7878787878788</v>
      </c>
      <c r="D76" s="1620">
        <f t="shared" si="165"/>
        <v>120.7878787878788</v>
      </c>
      <c r="E76" s="1620">
        <f t="shared" ref="E76:F78" si="198">E77+(E$75-E$79)*K76/SUM(K$75:K$78)</f>
        <v>121.5975975975976</v>
      </c>
      <c r="F76" s="1620">
        <f t="shared" si="198"/>
        <v>107</v>
      </c>
      <c r="G76" s="1891">
        <v>2004</v>
      </c>
      <c r="H76" s="1648">
        <v>3</v>
      </c>
      <c r="I76" s="1648">
        <v>0.56000000000000005</v>
      </c>
      <c r="J76" s="1648">
        <v>0.8</v>
      </c>
      <c r="K76" s="1648">
        <v>0.83</v>
      </c>
      <c r="L76" s="1649">
        <v>0.06</v>
      </c>
      <c r="N76" s="1679">
        <f t="shared" si="195"/>
        <v>2.2725428130833527E-2</v>
      </c>
      <c r="O76" s="1680">
        <f t="shared" si="195"/>
        <v>1.7012227538543329E-2</v>
      </c>
      <c r="P76" s="1680">
        <f t="shared" si="196"/>
        <v>3.6925814703592477E-2</v>
      </c>
      <c r="Q76" s="1680">
        <f t="shared" si="196"/>
        <v>2.8846153846153744E-2</v>
      </c>
      <c r="R76" s="1626"/>
      <c r="S76" s="1624"/>
      <c r="T76" s="1625"/>
      <c r="U76" s="1625"/>
      <c r="V76" s="1625"/>
      <c r="AC76" s="1681"/>
      <c r="AD76" s="1681"/>
      <c r="AE76" s="1681"/>
      <c r="AF76" s="1681"/>
    </row>
    <row r="77" spans="1:32">
      <c r="A77" s="1619" t="s">
        <v>1679</v>
      </c>
      <c r="B77" s="1620">
        <f t="shared" si="197"/>
        <v>116.99099099099099</v>
      </c>
      <c r="C77" s="1620">
        <f t="shared" si="197"/>
        <v>118.84848484848486</v>
      </c>
      <c r="D77" s="1620">
        <f t="shared" si="165"/>
        <v>118.84848484848486</v>
      </c>
      <c r="E77" s="1620">
        <f t="shared" si="198"/>
        <v>117.60960960960961</v>
      </c>
      <c r="F77" s="1620">
        <f t="shared" si="198"/>
        <v>104</v>
      </c>
      <c r="G77" s="1891">
        <v>2004</v>
      </c>
      <c r="H77" s="1635">
        <v>2</v>
      </c>
      <c r="I77" s="1635">
        <v>1</v>
      </c>
      <c r="J77" s="1635">
        <v>1.5</v>
      </c>
      <c r="K77" s="1635">
        <v>1.5</v>
      </c>
      <c r="L77" s="1642">
        <v>0</v>
      </c>
      <c r="N77" s="1679">
        <f t="shared" si="195"/>
        <v>4.0581121662202721E-2</v>
      </c>
      <c r="O77" s="1680">
        <f t="shared" si="195"/>
        <v>3.1897926634768738E-2</v>
      </c>
      <c r="P77" s="1680">
        <f t="shared" si="196"/>
        <v>6.6733400066733395E-2</v>
      </c>
      <c r="Q77" s="1680">
        <f t="shared" si="196"/>
        <v>0</v>
      </c>
      <c r="R77" s="1626"/>
      <c r="S77" s="1624"/>
      <c r="T77" s="1625"/>
      <c r="U77" s="1625"/>
      <c r="V77" s="1625"/>
      <c r="AC77" s="1681"/>
      <c r="AD77" s="1681"/>
      <c r="AE77" s="1681"/>
      <c r="AF77" s="1681"/>
    </row>
    <row r="78" spans="1:32" s="1673" customFormat="1" ht="13.8" thickBot="1">
      <c r="A78" s="1619" t="s">
        <v>1680</v>
      </c>
      <c r="B78" s="1670">
        <f t="shared" si="197"/>
        <v>112.48648648648648</v>
      </c>
      <c r="C78" s="1670">
        <f t="shared" si="197"/>
        <v>115.21212121212122</v>
      </c>
      <c r="D78" s="1670">
        <f t="shared" si="165"/>
        <v>115.21212121212122</v>
      </c>
      <c r="E78" s="1670">
        <f t="shared" si="198"/>
        <v>110.4024024024024</v>
      </c>
      <c r="F78" s="1670">
        <f t="shared" si="198"/>
        <v>104</v>
      </c>
      <c r="G78" s="1892">
        <v>2004</v>
      </c>
      <c r="H78" s="1671">
        <v>1</v>
      </c>
      <c r="I78" s="1671">
        <v>0.33</v>
      </c>
      <c r="J78" s="1671">
        <v>0.5</v>
      </c>
      <c r="K78" s="1671">
        <v>0.5</v>
      </c>
      <c r="L78" s="1672">
        <v>0</v>
      </c>
      <c r="N78" s="1684">
        <f t="shared" si="195"/>
        <v>1.3391770148526898E-2</v>
      </c>
      <c r="O78" s="1685">
        <f t="shared" si="195"/>
        <v>1.063264221158958E-2</v>
      </c>
      <c r="P78" s="1685">
        <f t="shared" si="196"/>
        <v>2.2244466688911134E-2</v>
      </c>
      <c r="Q78" s="1685">
        <f t="shared" si="196"/>
        <v>0</v>
      </c>
      <c r="R78" s="1676"/>
      <c r="S78" s="1674">
        <f>B78/B79-1</f>
        <v>1.3391770148526883E-2</v>
      </c>
      <c r="T78" s="1675">
        <f>C78/C79-1</f>
        <v>1.063264221158966E-2</v>
      </c>
      <c r="U78" s="1675">
        <f>E78/E79-1</f>
        <v>2.2244466688911224E-2</v>
      </c>
      <c r="V78" s="1675">
        <f>F78/F79-1</f>
        <v>0</v>
      </c>
      <c r="AC78" s="1686"/>
      <c r="AD78" s="1686"/>
      <c r="AE78" s="1686"/>
      <c r="AF78" s="1686"/>
    </row>
    <row r="79" spans="1:32" ht="13.8" thickBot="1">
      <c r="A79" s="1619" t="s">
        <v>1681</v>
      </c>
      <c r="B79" s="1687">
        <v>111</v>
      </c>
      <c r="C79" s="1687">
        <v>114</v>
      </c>
      <c r="D79" s="1687">
        <f t="shared" si="165"/>
        <v>114</v>
      </c>
      <c r="E79" s="1687">
        <v>108</v>
      </c>
      <c r="F79" s="1688">
        <v>104</v>
      </c>
      <c r="G79" s="1890">
        <v>2003</v>
      </c>
      <c r="H79" s="1677">
        <v>4</v>
      </c>
      <c r="I79" s="1689"/>
      <c r="J79" s="1689"/>
      <c r="K79" s="1689"/>
      <c r="L79" s="1689"/>
      <c r="N79" s="1690"/>
      <c r="O79" s="1689"/>
      <c r="P79" s="1689"/>
      <c r="Q79" s="1689"/>
      <c r="S79" s="1690"/>
      <c r="T79" s="1689"/>
      <c r="U79" s="1689"/>
      <c r="V79" s="1689"/>
      <c r="AC79" s="1681"/>
      <c r="AD79" s="1681"/>
      <c r="AE79" s="1681"/>
      <c r="AF79" s="1681"/>
    </row>
    <row r="80" spans="1:32">
      <c r="A80" s="1619" t="s">
        <v>1682</v>
      </c>
      <c r="B80" s="1691">
        <f t="shared" ref="B80:C82" si="199">B81+(B$79-B$83)/4</f>
        <v>109.75</v>
      </c>
      <c r="C80" s="1691">
        <f t="shared" si="199"/>
        <v>112.25</v>
      </c>
      <c r="D80" s="1691">
        <f t="shared" si="165"/>
        <v>112.25</v>
      </c>
      <c r="E80" s="1691">
        <f t="shared" ref="E80:F82" si="200">E81+(E$79-E$83)/4</f>
        <v>107.25</v>
      </c>
      <c r="F80" s="1691">
        <f t="shared" si="200"/>
        <v>103.5</v>
      </c>
      <c r="G80" s="1891">
        <v>2003</v>
      </c>
      <c r="H80" s="1648">
        <v>3</v>
      </c>
      <c r="I80" s="1689"/>
      <c r="J80" s="1689"/>
      <c r="K80" s="1689"/>
      <c r="L80" s="1689"/>
      <c r="AC80" s="1681"/>
      <c r="AD80" s="1681"/>
      <c r="AE80" s="1681"/>
      <c r="AF80" s="1681"/>
    </row>
    <row r="81" spans="1:32">
      <c r="A81" s="1619" t="s">
        <v>1683</v>
      </c>
      <c r="B81" s="1691">
        <f t="shared" si="199"/>
        <v>108.5</v>
      </c>
      <c r="C81" s="1691">
        <f t="shared" si="199"/>
        <v>110.5</v>
      </c>
      <c r="D81" s="1691">
        <f t="shared" si="165"/>
        <v>110.5</v>
      </c>
      <c r="E81" s="1691">
        <f t="shared" si="200"/>
        <v>106.5</v>
      </c>
      <c r="F81" s="1691">
        <f t="shared" si="200"/>
        <v>103</v>
      </c>
      <c r="G81" s="1891">
        <v>2003</v>
      </c>
      <c r="H81" s="1635">
        <v>2</v>
      </c>
      <c r="I81" s="1689"/>
      <c r="J81" s="1689"/>
      <c r="K81" s="1689"/>
      <c r="L81" s="1689"/>
      <c r="AC81" s="1681"/>
      <c r="AD81" s="1681"/>
      <c r="AE81" s="1681"/>
      <c r="AF81" s="1681"/>
    </row>
    <row r="82" spans="1:32" ht="13.8" thickBot="1">
      <c r="A82" s="1619" t="s">
        <v>1684</v>
      </c>
      <c r="B82" s="1691">
        <f t="shared" si="199"/>
        <v>107.25</v>
      </c>
      <c r="C82" s="1691">
        <f t="shared" si="199"/>
        <v>108.75</v>
      </c>
      <c r="D82" s="1691">
        <f t="shared" si="165"/>
        <v>108.75</v>
      </c>
      <c r="E82" s="1691">
        <f t="shared" si="200"/>
        <v>105.75</v>
      </c>
      <c r="F82" s="1691">
        <f t="shared" si="200"/>
        <v>102.5</v>
      </c>
      <c r="G82" s="1892">
        <v>2003</v>
      </c>
      <c r="H82" s="1692">
        <v>1</v>
      </c>
      <c r="I82" s="1689"/>
      <c r="J82" s="1689"/>
      <c r="K82" s="1689"/>
      <c r="L82" s="1689"/>
      <c r="S82" s="1624"/>
      <c r="T82" s="1625"/>
      <c r="U82" s="1625"/>
      <c r="AC82" s="1681"/>
      <c r="AD82" s="1681"/>
      <c r="AE82" s="1681"/>
      <c r="AF82" s="1681"/>
    </row>
    <row r="83" spans="1:32" ht="13.8" thickBot="1">
      <c r="A83" s="1619" t="s">
        <v>1685</v>
      </c>
      <c r="B83" s="1693">
        <v>106</v>
      </c>
      <c r="C83" s="1693">
        <v>107</v>
      </c>
      <c r="D83" s="1693">
        <f t="shared" si="165"/>
        <v>107</v>
      </c>
      <c r="E83" s="1693">
        <v>105</v>
      </c>
      <c r="F83" s="1694">
        <v>102</v>
      </c>
      <c r="G83" s="1890">
        <v>2002</v>
      </c>
      <c r="H83" s="1643">
        <v>4</v>
      </c>
      <c r="I83" s="1689"/>
      <c r="J83" s="1689"/>
      <c r="K83" s="1689"/>
      <c r="L83" s="1689"/>
      <c r="N83" s="1690"/>
      <c r="O83" s="1689"/>
      <c r="P83" s="1689"/>
      <c r="Q83" s="1689"/>
      <c r="S83" s="1690"/>
      <c r="T83" s="1689"/>
      <c r="U83" s="1689"/>
      <c r="V83" s="1689"/>
      <c r="AC83" s="1681"/>
      <c r="AD83" s="1681"/>
      <c r="AE83" s="1681"/>
      <c r="AF83" s="1681"/>
    </row>
    <row r="84" spans="1:32">
      <c r="A84" s="1619" t="s">
        <v>1686</v>
      </c>
      <c r="B84" s="1691">
        <f t="shared" ref="B84:C86" si="201">B85+(B$83-B$87)/4</f>
        <v>105</v>
      </c>
      <c r="C84" s="1691">
        <f t="shared" si="201"/>
        <v>106</v>
      </c>
      <c r="D84" s="1691">
        <f t="shared" si="165"/>
        <v>106</v>
      </c>
      <c r="E84" s="1691">
        <f t="shared" ref="E84:F86" si="202">E85+(E$83-E$87)/4</f>
        <v>104.5</v>
      </c>
      <c r="F84" s="1691">
        <f t="shared" si="202"/>
        <v>101.5</v>
      </c>
      <c r="G84" s="1891">
        <v>2002</v>
      </c>
      <c r="H84" s="1648">
        <v>3</v>
      </c>
      <c r="I84" s="1689"/>
      <c r="J84" s="1689"/>
      <c r="K84" s="1689"/>
      <c r="L84" s="1689"/>
      <c r="AC84" s="1681"/>
      <c r="AD84" s="1681"/>
      <c r="AE84" s="1681"/>
      <c r="AF84" s="1681"/>
    </row>
    <row r="85" spans="1:32">
      <c r="A85" s="1619" t="s">
        <v>1687</v>
      </c>
      <c r="B85" s="1691">
        <f t="shared" si="201"/>
        <v>104</v>
      </c>
      <c r="C85" s="1691">
        <f t="shared" si="201"/>
        <v>105</v>
      </c>
      <c r="D85" s="1691">
        <f t="shared" si="165"/>
        <v>105</v>
      </c>
      <c r="E85" s="1691">
        <f t="shared" si="202"/>
        <v>104</v>
      </c>
      <c r="F85" s="1691">
        <f t="shared" si="202"/>
        <v>101</v>
      </c>
      <c r="G85" s="1891">
        <v>2002</v>
      </c>
      <c r="H85" s="1635">
        <v>2</v>
      </c>
      <c r="I85" s="1689"/>
      <c r="J85" s="1689"/>
      <c r="K85" s="1689"/>
      <c r="L85" s="1689"/>
      <c r="AC85" s="1681"/>
      <c r="AD85" s="1681"/>
      <c r="AE85" s="1681"/>
      <c r="AF85" s="1681"/>
    </row>
    <row r="86" spans="1:32" s="1659" customFormat="1" ht="13.8" thickBot="1">
      <c r="A86" s="1655" t="s">
        <v>1688</v>
      </c>
      <c r="B86" s="1662">
        <f t="shared" si="201"/>
        <v>103</v>
      </c>
      <c r="C86" s="1662">
        <f t="shared" si="201"/>
        <v>104</v>
      </c>
      <c r="D86" s="1662">
        <f t="shared" si="165"/>
        <v>104</v>
      </c>
      <c r="E86" s="1662">
        <f t="shared" si="202"/>
        <v>103.5</v>
      </c>
      <c r="F86" s="1662">
        <f t="shared" si="202"/>
        <v>100.5</v>
      </c>
      <c r="G86" s="1892">
        <v>2002</v>
      </c>
      <c r="H86" s="1695">
        <v>1</v>
      </c>
      <c r="I86" s="1696"/>
      <c r="J86" s="1696"/>
      <c r="K86" s="1696"/>
      <c r="L86" s="1696"/>
      <c r="N86" s="1697"/>
      <c r="S86" s="1697"/>
      <c r="AC86" s="1698"/>
      <c r="AD86" s="1698"/>
      <c r="AE86" s="1698"/>
      <c r="AF86" s="1698"/>
    </row>
    <row r="87" spans="1:32" ht="13.8" thickBot="1">
      <c r="B87" s="1699">
        <v>102</v>
      </c>
      <c r="C87" s="1700">
        <v>103</v>
      </c>
      <c r="D87" s="1700">
        <f t="shared" si="165"/>
        <v>103</v>
      </c>
      <c r="E87" s="1700">
        <v>103</v>
      </c>
      <c r="F87" s="1701">
        <v>100</v>
      </c>
      <c r="I87" s="1689"/>
      <c r="J87" s="1689"/>
      <c r="K87" s="1689"/>
      <c r="L87" s="1689"/>
      <c r="N87" s="1690"/>
      <c r="O87" s="1689"/>
      <c r="P87" s="1689"/>
      <c r="Q87" s="1689"/>
      <c r="S87" s="1690"/>
      <c r="T87" s="1689"/>
      <c r="U87" s="1689"/>
      <c r="V87" s="1689"/>
      <c r="AC87" s="1629"/>
      <c r="AD87" s="1629"/>
      <c r="AE87" s="1629"/>
      <c r="AF87" s="1629"/>
    </row>
    <row r="89" spans="1:32" s="1703" customFormat="1">
      <c r="A89" s="1702" t="s">
        <v>1695</v>
      </c>
      <c r="G89" s="1704"/>
      <c r="N89" s="1704"/>
      <c r="S89" s="1704"/>
    </row>
    <row r="90" spans="1:32" s="1703" customFormat="1">
      <c r="A90" s="1703" t="s">
        <v>1696</v>
      </c>
      <c r="G90" s="1704"/>
      <c r="N90" s="1704"/>
      <c r="S90" s="1704"/>
    </row>
    <row r="91" spans="1:32" s="1703" customFormat="1">
      <c r="A91" s="1703" t="s">
        <v>1697</v>
      </c>
      <c r="G91" s="1704"/>
      <c r="I91" s="1705"/>
      <c r="J91" s="1705"/>
      <c r="K91" s="1705"/>
      <c r="L91" s="1705"/>
      <c r="N91" s="1706"/>
      <c r="O91" s="1705"/>
      <c r="P91" s="1705"/>
      <c r="Q91" s="1705"/>
      <c r="S91" s="1706"/>
      <c r="T91" s="1705"/>
      <c r="U91" s="1705"/>
      <c r="V91" s="1705"/>
    </row>
    <row r="92" spans="1:32" s="1703" customFormat="1">
      <c r="A92" s="1703" t="s">
        <v>1698</v>
      </c>
      <c r="G92" s="1704"/>
      <c r="N92" s="1704"/>
      <c r="S92" s="1704"/>
    </row>
    <row r="99" spans="14:29" ht="13.8" thickBot="1"/>
    <row r="100" spans="14:29" ht="24">
      <c r="S100" s="1707" t="s">
        <v>1689</v>
      </c>
      <c r="T100" s="1708" t="s">
        <v>1690</v>
      </c>
      <c r="U100" s="1708" t="s">
        <v>1691</v>
      </c>
      <c r="V100" s="1708" t="s">
        <v>1692</v>
      </c>
      <c r="W100" s="1709" t="s">
        <v>1693</v>
      </c>
      <c r="X100" s="1710">
        <v>2006</v>
      </c>
      <c r="Y100" s="1711">
        <v>4</v>
      </c>
      <c r="Z100" s="1711">
        <v>3.79</v>
      </c>
      <c r="AA100" s="1711">
        <v>2.21</v>
      </c>
      <c r="AB100" s="1711">
        <v>5.65</v>
      </c>
      <c r="AC100" s="1712">
        <v>5.41</v>
      </c>
    </row>
    <row r="101" spans="14:29">
      <c r="N101" s="1634"/>
      <c r="O101" s="1629"/>
      <c r="P101" s="1629"/>
      <c r="Q101" s="1629"/>
      <c r="S101" s="1713">
        <v>2006</v>
      </c>
      <c r="T101" s="1714">
        <v>15.1</v>
      </c>
      <c r="U101" s="1714">
        <v>7.43</v>
      </c>
      <c r="V101" s="1714">
        <v>26.26</v>
      </c>
      <c r="W101" s="1715">
        <v>7.6</v>
      </c>
      <c r="X101" s="1716">
        <v>2006</v>
      </c>
      <c r="Y101" s="1717">
        <v>3</v>
      </c>
      <c r="Z101" s="1717">
        <v>0.92</v>
      </c>
      <c r="AA101" s="1717">
        <v>1.08</v>
      </c>
      <c r="AB101" s="1717">
        <v>0.73</v>
      </c>
      <c r="AC101" s="1718">
        <v>1.08</v>
      </c>
    </row>
    <row r="102" spans="14:29">
      <c r="N102" s="1634"/>
      <c r="O102" s="1629"/>
      <c r="P102" s="1629"/>
      <c r="Q102" s="1629"/>
      <c r="S102" s="1719">
        <v>2005</v>
      </c>
      <c r="T102" s="1717">
        <v>13.9</v>
      </c>
      <c r="U102" s="1717">
        <v>7.49</v>
      </c>
      <c r="V102" s="1717">
        <v>24.92</v>
      </c>
      <c r="W102" s="1718">
        <v>6.51</v>
      </c>
      <c r="X102" s="1720">
        <v>2006</v>
      </c>
      <c r="Y102" s="1714">
        <v>2</v>
      </c>
      <c r="Z102" s="1714">
        <v>0.96</v>
      </c>
      <c r="AA102" s="1714">
        <v>0.25</v>
      </c>
      <c r="AB102" s="1714">
        <v>1.9</v>
      </c>
      <c r="AC102" s="1715">
        <v>0.95</v>
      </c>
    </row>
    <row r="103" spans="14:29" ht="13.8" thickBot="1">
      <c r="N103" s="1634"/>
      <c r="O103" s="1629"/>
      <c r="P103" s="1629"/>
      <c r="Q103" s="1629"/>
      <c r="S103" s="1713">
        <v>2004</v>
      </c>
      <c r="T103" s="1714">
        <v>9.48</v>
      </c>
      <c r="U103" s="1714">
        <v>7.2</v>
      </c>
      <c r="V103" s="1714">
        <v>14.68</v>
      </c>
      <c r="W103" s="1715">
        <v>2.2000000000000002</v>
      </c>
      <c r="X103" s="1721">
        <v>2006</v>
      </c>
      <c r="Y103" s="1722">
        <v>1</v>
      </c>
      <c r="Z103" s="1722">
        <v>2.29</v>
      </c>
      <c r="AA103" s="1722">
        <v>3.72</v>
      </c>
      <c r="AB103" s="1722">
        <v>0.75</v>
      </c>
      <c r="AC103" s="1723">
        <v>0.04</v>
      </c>
    </row>
    <row r="104" spans="14:29">
      <c r="N104" s="1634"/>
      <c r="O104" s="1629"/>
      <c r="P104" s="1629"/>
      <c r="Q104" s="1629"/>
      <c r="S104" s="1719">
        <v>2003</v>
      </c>
      <c r="T104" s="1717">
        <v>4.5</v>
      </c>
      <c r="U104" s="1717">
        <v>6.12</v>
      </c>
      <c r="V104" s="1717">
        <v>2.34</v>
      </c>
      <c r="W104" s="1718">
        <v>2.36</v>
      </c>
    </row>
    <row r="105" spans="14:29" ht="13.8" thickBot="1">
      <c r="N105" s="1634"/>
      <c r="O105" s="1629"/>
      <c r="P105" s="1629"/>
      <c r="Q105" s="1629"/>
      <c r="S105" s="1724">
        <v>2002</v>
      </c>
      <c r="T105" s="1725">
        <v>3.59</v>
      </c>
      <c r="U105" s="1725">
        <v>4.54</v>
      </c>
      <c r="V105" s="1725">
        <v>2.5499999999999998</v>
      </c>
      <c r="W105" s="1726">
        <v>1.52</v>
      </c>
    </row>
    <row r="106" spans="14:29">
      <c r="N106" s="1634"/>
      <c r="O106" s="1629"/>
      <c r="P106" s="1629"/>
      <c r="Q106" s="1629"/>
    </row>
    <row r="107" spans="14:29">
      <c r="N107" s="1634"/>
      <c r="O107" s="1629"/>
      <c r="P107" s="1629"/>
      <c r="Q107" s="1629"/>
    </row>
    <row r="108" spans="14:29">
      <c r="N108" s="1634"/>
      <c r="O108" s="1629"/>
      <c r="P108" s="1629"/>
      <c r="Q108" s="1629"/>
    </row>
    <row r="109" spans="14:29">
      <c r="N109" s="1634"/>
      <c r="O109" s="1629"/>
      <c r="P109" s="1629"/>
      <c r="Q109" s="1629"/>
    </row>
    <row r="110" spans="14:29">
      <c r="N110" s="1634"/>
      <c r="O110" s="1629"/>
      <c r="P110" s="1629"/>
      <c r="Q110" s="1629"/>
    </row>
    <row r="111" spans="14:29">
      <c r="N111" s="1634"/>
      <c r="O111" s="1629"/>
      <c r="P111" s="1629"/>
      <c r="Q111" s="1629"/>
    </row>
    <row r="112" spans="14:29">
      <c r="N112" s="1634"/>
      <c r="O112" s="1629"/>
      <c r="P112" s="1629"/>
      <c r="Q112" s="1629"/>
    </row>
    <row r="113" spans="14:17">
      <c r="N113" s="1634"/>
      <c r="O113" s="1629"/>
      <c r="P113" s="1629"/>
      <c r="Q113" s="1629"/>
    </row>
    <row r="114" spans="14:17">
      <c r="N114" s="1634"/>
      <c r="O114" s="1629"/>
      <c r="P114" s="1629"/>
      <c r="Q114" s="1629"/>
    </row>
    <row r="115" spans="14:17">
      <c r="N115" s="1634"/>
      <c r="O115" s="1629"/>
      <c r="P115" s="1629"/>
      <c r="Q115" s="1629"/>
    </row>
    <row r="116" spans="14:17">
      <c r="N116" s="1634"/>
      <c r="O116" s="1629"/>
      <c r="P116" s="1629"/>
      <c r="Q116" s="1629"/>
    </row>
    <row r="117" spans="14:17">
      <c r="N117" s="1634"/>
      <c r="O117" s="1629"/>
      <c r="P117" s="1629"/>
      <c r="Q117" s="1629"/>
    </row>
    <row r="118" spans="14:17">
      <c r="N118" s="1634"/>
      <c r="O118" s="1629"/>
      <c r="P118" s="1629"/>
      <c r="Q118" s="1629"/>
    </row>
    <row r="119" spans="14:17">
      <c r="N119" s="1634"/>
      <c r="O119" s="1629"/>
      <c r="P119" s="1629"/>
      <c r="Q119" s="1629"/>
    </row>
    <row r="120" spans="14:17">
      <c r="N120" s="1634"/>
      <c r="O120" s="1629"/>
      <c r="P120" s="1629"/>
      <c r="Q120" s="1629"/>
    </row>
    <row r="121" spans="14:17">
      <c r="N121" s="1634"/>
      <c r="O121" s="1629"/>
      <c r="P121" s="1629"/>
      <c r="Q121" s="1629"/>
    </row>
  </sheetData>
  <sheetProtection sheet="1" objects="1" scenarios="1" formatCells="0" formatColumns="0" formatRows="0"/>
  <mergeCells count="20"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  <mergeCell ref="G79:G82"/>
    <mergeCell ref="G83:G86"/>
    <mergeCell ref="G55:G58"/>
    <mergeCell ref="G59:G62"/>
    <mergeCell ref="G63:G66"/>
    <mergeCell ref="G67:G70"/>
    <mergeCell ref="G71:G74"/>
    <mergeCell ref="G75:G78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4"/>
  <cols>
    <col min="1" max="1" width="11.88671875" style="184" customWidth="1"/>
    <col min="2" max="2" width="18.6640625" style="183" customWidth="1"/>
    <col min="3" max="3" width="13" style="17" customWidth="1"/>
    <col min="4" max="4" width="5.77734375" style="15" customWidth="1"/>
    <col min="5" max="5" width="7.109375" style="15" customWidth="1"/>
    <col min="6" max="6" width="10.6640625" style="15" customWidth="1"/>
    <col min="7" max="7" width="7.44140625" style="15" customWidth="1"/>
    <col min="8" max="8" width="9" style="17" customWidth="1"/>
    <col min="9" max="9" width="11.6640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8.8">
      <c r="A1" s="167" t="s">
        <v>155</v>
      </c>
      <c r="B1" s="12" t="s">
        <v>58</v>
      </c>
      <c r="C1" s="392" t="s">
        <v>969</v>
      </c>
      <c r="D1" s="13" t="s">
        <v>59</v>
      </c>
      <c r="E1" s="13" t="s">
        <v>60</v>
      </c>
      <c r="F1" s="13" t="s">
        <v>61</v>
      </c>
      <c r="G1" s="13" t="s">
        <v>62</v>
      </c>
      <c r="H1" s="13" t="s">
        <v>63</v>
      </c>
      <c r="I1" s="13" t="s">
        <v>64</v>
      </c>
      <c r="J1" s="13" t="s">
        <v>65</v>
      </c>
      <c r="K1" s="13" t="s">
        <v>66</v>
      </c>
      <c r="L1" s="13" t="s">
        <v>67</v>
      </c>
      <c r="M1" s="13" t="s">
        <v>68</v>
      </c>
      <c r="N1" s="13" t="s">
        <v>69</v>
      </c>
      <c r="O1" s="13" t="s">
        <v>70</v>
      </c>
      <c r="P1" s="1" t="s">
        <v>952</v>
      </c>
      <c r="Q1" s="1" t="s">
        <v>1181</v>
      </c>
      <c r="R1" s="239" t="s">
        <v>1182</v>
      </c>
      <c r="S1" s="13" t="s">
        <v>71</v>
      </c>
      <c r="T1" s="14" t="s">
        <v>72</v>
      </c>
      <c r="U1" s="13" t="s">
        <v>73</v>
      </c>
      <c r="V1" s="13" t="s">
        <v>74</v>
      </c>
      <c r="W1" s="239" t="s">
        <v>953</v>
      </c>
      <c r="X1" s="239" t="s">
        <v>1143</v>
      </c>
      <c r="Y1" s="239" t="s">
        <v>1149</v>
      </c>
    </row>
    <row r="2" spans="1:25" ht="15.6">
      <c r="A2" s="645" t="s">
        <v>18</v>
      </c>
      <c r="B2" s="645" t="s">
        <v>1344</v>
      </c>
      <c r="C2" s="393" t="s">
        <v>970</v>
      </c>
      <c r="D2" s="15" t="s">
        <v>35</v>
      </c>
      <c r="E2" s="15" t="s">
        <v>75</v>
      </c>
      <c r="F2" s="15" t="s">
        <v>76</v>
      </c>
      <c r="G2" s="15">
        <v>40</v>
      </c>
      <c r="H2" s="510" t="s">
        <v>1753</v>
      </c>
      <c r="I2" s="15" t="s">
        <v>77</v>
      </c>
      <c r="J2" s="15" t="s">
        <v>78</v>
      </c>
      <c r="K2" s="15" t="s">
        <v>36</v>
      </c>
      <c r="L2" s="15" t="s">
        <v>36</v>
      </c>
      <c r="M2" s="15" t="s">
        <v>36</v>
      </c>
      <c r="N2" s="15" t="s">
        <v>36</v>
      </c>
      <c r="O2" s="15" t="s">
        <v>36</v>
      </c>
      <c r="P2" s="15" t="s">
        <v>36</v>
      </c>
      <c r="Q2" s="15" t="s">
        <v>36</v>
      </c>
      <c r="R2" s="483" t="s">
        <v>1183</v>
      </c>
      <c r="S2" s="15" t="s">
        <v>36</v>
      </c>
      <c r="T2" s="15" t="s">
        <v>37</v>
      </c>
      <c r="U2" s="15" t="s">
        <v>36</v>
      </c>
      <c r="V2" s="15" t="s">
        <v>38</v>
      </c>
      <c r="W2" s="15" t="s">
        <v>36</v>
      </c>
      <c r="X2" s="500" t="s">
        <v>1153</v>
      </c>
      <c r="Y2" s="483" t="s">
        <v>1145</v>
      </c>
    </row>
    <row r="3" spans="1:25" ht="15.6">
      <c r="A3" s="645" t="s">
        <v>174</v>
      </c>
      <c r="B3" s="645" t="s">
        <v>1345</v>
      </c>
      <c r="C3" s="394" t="s">
        <v>971</v>
      </c>
      <c r="D3" s="15" t="s">
        <v>39</v>
      </c>
      <c r="E3" s="15" t="s">
        <v>3</v>
      </c>
      <c r="F3" s="15" t="s">
        <v>40</v>
      </c>
      <c r="G3" s="15">
        <v>50</v>
      </c>
      <c r="H3" s="15" t="s">
        <v>41</v>
      </c>
      <c r="I3" s="15" t="s">
        <v>42</v>
      </c>
      <c r="J3" s="15" t="s">
        <v>43</v>
      </c>
      <c r="K3" s="15" t="s">
        <v>44</v>
      </c>
      <c r="L3" s="15" t="s">
        <v>44</v>
      </c>
      <c r="M3" s="15" t="s">
        <v>44</v>
      </c>
      <c r="N3" s="15" t="s">
        <v>44</v>
      </c>
      <c r="O3" s="15" t="s">
        <v>44</v>
      </c>
      <c r="P3" s="15" t="s">
        <v>44</v>
      </c>
      <c r="Q3" s="15" t="s">
        <v>44</v>
      </c>
      <c r="R3" s="483" t="s">
        <v>1184</v>
      </c>
      <c r="S3" s="15" t="s">
        <v>44</v>
      </c>
      <c r="T3" s="15" t="s">
        <v>45</v>
      </c>
      <c r="U3" s="15" t="s">
        <v>44</v>
      </c>
      <c r="V3" s="15" t="s">
        <v>46</v>
      </c>
      <c r="W3" s="15" t="s">
        <v>44</v>
      </c>
      <c r="X3" s="500" t="s">
        <v>1154</v>
      </c>
      <c r="Y3" s="483" t="s">
        <v>1147</v>
      </c>
    </row>
    <row r="4" spans="1:25" ht="15.6">
      <c r="A4" s="645" t="s">
        <v>175</v>
      </c>
      <c r="B4" s="645" t="s">
        <v>1351</v>
      </c>
      <c r="C4" s="393" t="s">
        <v>972</v>
      </c>
      <c r="D4" s="15" t="s">
        <v>3</v>
      </c>
      <c r="E4" s="15" t="s">
        <v>79</v>
      </c>
      <c r="F4" s="15" t="s">
        <v>80</v>
      </c>
      <c r="G4" s="15">
        <v>70</v>
      </c>
      <c r="H4" s="510" t="s">
        <v>1297</v>
      </c>
      <c r="I4" s="15" t="s">
        <v>81</v>
      </c>
      <c r="K4" s="15" t="s">
        <v>47</v>
      </c>
      <c r="L4" s="15" t="s">
        <v>47</v>
      </c>
      <c r="M4" s="15" t="s">
        <v>47</v>
      </c>
      <c r="N4" s="15" t="s">
        <v>47</v>
      </c>
      <c r="O4" s="15" t="s">
        <v>47</v>
      </c>
      <c r="P4" s="15" t="s">
        <v>47</v>
      </c>
      <c r="Q4" s="15" t="s">
        <v>47</v>
      </c>
      <c r="R4" s="483" t="s">
        <v>1185</v>
      </c>
      <c r="S4" s="15" t="s">
        <v>47</v>
      </c>
      <c r="T4" s="15" t="s">
        <v>48</v>
      </c>
      <c r="U4" s="15" t="s">
        <v>47</v>
      </c>
      <c r="W4" s="15" t="s">
        <v>47</v>
      </c>
      <c r="X4" s="500" t="s">
        <v>1155</v>
      </c>
      <c r="Y4" s="483" t="s">
        <v>1150</v>
      </c>
    </row>
    <row r="5" spans="1:25" ht="15.6">
      <c r="A5" s="645" t="s">
        <v>176</v>
      </c>
      <c r="B5" s="1154" t="s">
        <v>1552</v>
      </c>
      <c r="C5" s="393" t="s">
        <v>973</v>
      </c>
      <c r="F5" s="15" t="s">
        <v>49</v>
      </c>
      <c r="H5" s="15" t="s">
        <v>49</v>
      </c>
      <c r="I5" s="15" t="s">
        <v>50</v>
      </c>
      <c r="K5" s="15" t="s">
        <v>51</v>
      </c>
      <c r="L5" s="15" t="s">
        <v>51</v>
      </c>
      <c r="M5" s="15" t="s">
        <v>51</v>
      </c>
      <c r="N5" s="15" t="s">
        <v>51</v>
      </c>
      <c r="O5" s="15" t="s">
        <v>51</v>
      </c>
      <c r="P5" s="15" t="s">
        <v>51</v>
      </c>
      <c r="Q5" s="15" t="s">
        <v>51</v>
      </c>
      <c r="R5" s="483" t="s">
        <v>1186</v>
      </c>
      <c r="S5" s="15" t="s">
        <v>51</v>
      </c>
      <c r="T5" s="15" t="s">
        <v>52</v>
      </c>
      <c r="U5" s="15" t="s">
        <v>51</v>
      </c>
      <c r="W5" s="15" t="s">
        <v>51</v>
      </c>
      <c r="X5" s="500" t="s">
        <v>1260</v>
      </c>
      <c r="Y5" s="187"/>
    </row>
    <row r="6" spans="1:25" ht="15.6">
      <c r="A6" s="645" t="s">
        <v>177</v>
      </c>
      <c r="B6" s="185" t="s">
        <v>965</v>
      </c>
      <c r="C6" s="395" t="s">
        <v>30</v>
      </c>
      <c r="F6" s="15" t="s">
        <v>53</v>
      </c>
      <c r="H6" s="15"/>
      <c r="I6" s="15" t="s">
        <v>54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  <c r="R6" s="483" t="s">
        <v>1187</v>
      </c>
      <c r="S6" s="15" t="s">
        <v>55</v>
      </c>
      <c r="T6" s="15"/>
      <c r="U6" s="15" t="s">
        <v>55</v>
      </c>
      <c r="W6" s="15" t="s">
        <v>55</v>
      </c>
      <c r="X6" s="500" t="s">
        <v>1261</v>
      </c>
      <c r="Y6" s="187"/>
    </row>
    <row r="7" spans="1:25" ht="15.6">
      <c r="A7" s="645" t="s">
        <v>178</v>
      </c>
      <c r="B7" s="185" t="s">
        <v>965</v>
      </c>
      <c r="C7" s="393" t="s">
        <v>31</v>
      </c>
      <c r="F7" s="15" t="s">
        <v>56</v>
      </c>
      <c r="H7" s="15"/>
      <c r="I7" s="15" t="s">
        <v>57</v>
      </c>
      <c r="X7" s="500" t="s">
        <v>1262</v>
      </c>
    </row>
    <row r="8" spans="1:25" ht="15.6">
      <c r="A8" s="645" t="s">
        <v>179</v>
      </c>
      <c r="B8" s="185" t="s">
        <v>965</v>
      </c>
      <c r="C8" s="393" t="s">
        <v>974</v>
      </c>
      <c r="F8" s="15" t="s">
        <v>82</v>
      </c>
      <c r="H8" s="15"/>
      <c r="I8" s="15" t="s">
        <v>83</v>
      </c>
      <c r="X8" s="500" t="s">
        <v>1263</v>
      </c>
    </row>
    <row r="9" spans="1:25">
      <c r="A9" s="645" t="s">
        <v>180</v>
      </c>
      <c r="B9" s="185" t="s">
        <v>965</v>
      </c>
      <c r="C9" s="393" t="s">
        <v>975</v>
      </c>
      <c r="F9" s="15" t="s">
        <v>84</v>
      </c>
      <c r="H9" s="15"/>
    </row>
    <row r="10" spans="1:25">
      <c r="A10" s="645" t="s">
        <v>181</v>
      </c>
      <c r="B10" s="185" t="s">
        <v>965</v>
      </c>
      <c r="C10" s="393" t="s">
        <v>976</v>
      </c>
      <c r="F10" s="15" t="s">
        <v>3</v>
      </c>
    </row>
    <row r="11" spans="1:25">
      <c r="A11" s="645" t="s">
        <v>182</v>
      </c>
      <c r="B11" s="185" t="s">
        <v>965</v>
      </c>
      <c r="C11" s="393" t="s">
        <v>977</v>
      </c>
    </row>
    <row r="12" spans="1:25">
      <c r="A12" s="645" t="s">
        <v>183</v>
      </c>
      <c r="B12" s="185" t="s">
        <v>965</v>
      </c>
      <c r="C12" s="393" t="s">
        <v>978</v>
      </c>
    </row>
    <row r="13" spans="1:25">
      <c r="A13" s="645" t="s">
        <v>184</v>
      </c>
      <c r="B13" s="185" t="s">
        <v>965</v>
      </c>
      <c r="C13" s="393" t="s">
        <v>979</v>
      </c>
    </row>
    <row r="14" spans="1:25">
      <c r="A14" s="645" t="s">
        <v>185</v>
      </c>
      <c r="B14" s="185" t="s">
        <v>965</v>
      </c>
      <c r="C14" s="396"/>
    </row>
    <row r="15" spans="1:25">
      <c r="A15" s="645" t="s">
        <v>186</v>
      </c>
      <c r="B15" s="185" t="s">
        <v>965</v>
      </c>
      <c r="C15" s="396"/>
    </row>
    <row r="16" spans="1:25">
      <c r="A16" s="645" t="s">
        <v>187</v>
      </c>
      <c r="B16" s="185" t="s">
        <v>965</v>
      </c>
      <c r="C16" s="396"/>
    </row>
    <row r="17" spans="1:3">
      <c r="A17" s="645" t="s">
        <v>188</v>
      </c>
      <c r="B17" s="185" t="s">
        <v>965</v>
      </c>
      <c r="C17" s="396"/>
    </row>
    <row r="18" spans="1:3">
      <c r="A18" s="645" t="s">
        <v>189</v>
      </c>
      <c r="B18" s="185" t="s">
        <v>965</v>
      </c>
      <c r="C18" s="396"/>
    </row>
    <row r="19" spans="1:3">
      <c r="A19" s="645" t="s">
        <v>190</v>
      </c>
      <c r="B19" s="185" t="s">
        <v>965</v>
      </c>
      <c r="C19" s="396"/>
    </row>
    <row r="20" spans="1:3">
      <c r="A20" s="645" t="s">
        <v>191</v>
      </c>
      <c r="B20" s="185" t="s">
        <v>965</v>
      </c>
      <c r="C20" s="396"/>
    </row>
    <row r="21" spans="1:3">
      <c r="A21" s="645" t="s">
        <v>192</v>
      </c>
      <c r="B21" s="185" t="s">
        <v>965</v>
      </c>
      <c r="C21" s="396"/>
    </row>
    <row r="22" spans="1:3">
      <c r="A22" s="645" t="s">
        <v>193</v>
      </c>
      <c r="B22" s="185" t="s">
        <v>965</v>
      </c>
      <c r="C22" s="396"/>
    </row>
    <row r="23" spans="1:3">
      <c r="A23" s="645" t="s">
        <v>194</v>
      </c>
      <c r="B23" s="185" t="s">
        <v>965</v>
      </c>
      <c r="C23" s="396"/>
    </row>
    <row r="24" spans="1:3">
      <c r="A24" s="645" t="s">
        <v>195</v>
      </c>
      <c r="B24" s="185" t="s">
        <v>965</v>
      </c>
      <c r="C24" s="396"/>
    </row>
    <row r="25" spans="1:3">
      <c r="A25" s="645" t="s">
        <v>196</v>
      </c>
      <c r="B25" s="185" t="s">
        <v>965</v>
      </c>
      <c r="C25" s="396"/>
    </row>
    <row r="26" spans="1:3">
      <c r="A26" s="645" t="s">
        <v>197</v>
      </c>
      <c r="B26" s="185" t="s">
        <v>965</v>
      </c>
      <c r="C26" s="396"/>
    </row>
    <row r="27" spans="1:3">
      <c r="A27" s="185" t="s">
        <v>965</v>
      </c>
      <c r="B27" s="185" t="s">
        <v>965</v>
      </c>
      <c r="C27" s="396"/>
    </row>
    <row r="28" spans="1:3">
      <c r="A28" s="185" t="s">
        <v>965</v>
      </c>
      <c r="B28" s="185" t="s">
        <v>965</v>
      </c>
      <c r="C28" s="396"/>
    </row>
    <row r="29" spans="1:3">
      <c r="A29" s="185" t="s">
        <v>965</v>
      </c>
      <c r="B29" s="185" t="s">
        <v>965</v>
      </c>
      <c r="C29" s="396"/>
    </row>
    <row r="30" spans="1:3">
      <c r="A30" s="185" t="s">
        <v>965</v>
      </c>
      <c r="B30" s="185" t="s">
        <v>965</v>
      </c>
      <c r="C30" s="396"/>
    </row>
    <row r="31" spans="1:3">
      <c r="A31" s="185" t="s">
        <v>965</v>
      </c>
      <c r="B31" s="185" t="s">
        <v>965</v>
      </c>
      <c r="C31" s="396"/>
    </row>
    <row r="32" spans="1:3">
      <c r="A32" s="185" t="s">
        <v>965</v>
      </c>
      <c r="B32" s="185" t="s">
        <v>965</v>
      </c>
      <c r="C32" s="396"/>
    </row>
    <row r="33" spans="1:3">
      <c r="A33" s="185" t="s">
        <v>965</v>
      </c>
      <c r="B33" s="185" t="s">
        <v>965</v>
      </c>
      <c r="C33" s="396"/>
    </row>
    <row r="34" spans="1:3">
      <c r="A34" s="185" t="s">
        <v>965</v>
      </c>
      <c r="B34" s="185" t="s">
        <v>965</v>
      </c>
      <c r="C34" s="396"/>
    </row>
    <row r="35" spans="1:3">
      <c r="A35" s="185" t="s">
        <v>965</v>
      </c>
      <c r="B35" s="185" t="s">
        <v>965</v>
      </c>
      <c r="C35" s="396"/>
    </row>
    <row r="36" spans="1:3">
      <c r="A36" s="185" t="s">
        <v>965</v>
      </c>
      <c r="B36" s="185" t="s">
        <v>965</v>
      </c>
      <c r="C36" s="396"/>
    </row>
    <row r="37" spans="1:3">
      <c r="A37" s="185" t="s">
        <v>965</v>
      </c>
      <c r="B37" s="185" t="s">
        <v>965</v>
      </c>
      <c r="C37" s="396"/>
    </row>
    <row r="38" spans="1:3">
      <c r="A38" s="185" t="s">
        <v>965</v>
      </c>
      <c r="B38" s="185" t="s">
        <v>965</v>
      </c>
      <c r="C38" s="396"/>
    </row>
    <row r="39" spans="1:3">
      <c r="A39" s="185" t="s">
        <v>965</v>
      </c>
      <c r="B39" s="185" t="s">
        <v>965</v>
      </c>
      <c r="C39" s="396"/>
    </row>
    <row r="40" spans="1:3">
      <c r="A40" s="185" t="s">
        <v>965</v>
      </c>
      <c r="B40" s="185" t="s">
        <v>965</v>
      </c>
      <c r="C40" s="396"/>
    </row>
    <row r="41" spans="1:3">
      <c r="A41" s="185" t="s">
        <v>965</v>
      </c>
      <c r="B41" s="185" t="s">
        <v>965</v>
      </c>
      <c r="C41" s="396"/>
    </row>
    <row r="42" spans="1:3">
      <c r="A42" s="185" t="s">
        <v>965</v>
      </c>
      <c r="B42" s="185" t="s">
        <v>965</v>
      </c>
      <c r="C42" s="396"/>
    </row>
    <row r="43" spans="1:3">
      <c r="A43" s="185" t="s">
        <v>965</v>
      </c>
      <c r="B43" s="185" t="s">
        <v>965</v>
      </c>
      <c r="C43" s="396"/>
    </row>
    <row r="44" spans="1:3">
      <c r="A44" s="185" t="s">
        <v>965</v>
      </c>
      <c r="B44" s="185" t="s">
        <v>965</v>
      </c>
      <c r="C44" s="396"/>
    </row>
    <row r="45" spans="1:3">
      <c r="A45" s="185" t="s">
        <v>965</v>
      </c>
      <c r="B45" s="185" t="s">
        <v>965</v>
      </c>
      <c r="C45" s="396"/>
    </row>
    <row r="46" spans="1:3">
      <c r="A46" s="185" t="s">
        <v>965</v>
      </c>
      <c r="B46" s="185" t="s">
        <v>965</v>
      </c>
      <c r="C46" s="396"/>
    </row>
    <row r="47" spans="1:3">
      <c r="A47" s="185" t="s">
        <v>965</v>
      </c>
      <c r="B47" s="185" t="s">
        <v>965</v>
      </c>
      <c r="C47" s="396"/>
    </row>
    <row r="48" spans="1:3">
      <c r="A48" s="185" t="s">
        <v>965</v>
      </c>
      <c r="B48" s="185" t="s">
        <v>965</v>
      </c>
      <c r="C48" s="396"/>
    </row>
    <row r="49" spans="1:3">
      <c r="A49" s="185" t="s">
        <v>965</v>
      </c>
      <c r="B49" s="185" t="s">
        <v>965</v>
      </c>
      <c r="C49" s="396"/>
    </row>
    <row r="50" spans="1:3">
      <c r="A50" s="185" t="s">
        <v>965</v>
      </c>
      <c r="B50" s="185" t="s">
        <v>965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421"/>
    <col min="2" max="3" width="9" style="246"/>
    <col min="4" max="5" width="14" style="246" customWidth="1"/>
    <col min="6" max="6" width="9" style="246"/>
    <col min="7" max="7" width="9" style="1447" customWidth="1"/>
    <col min="8" max="8" width="9" style="246" customWidth="1"/>
    <col min="9" max="10" width="14" style="246" customWidth="1"/>
    <col min="11" max="11" width="9" style="246" customWidth="1"/>
    <col min="12" max="12" width="9" style="1447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24">
      <c r="G1" s="1408" t="s">
        <v>968</v>
      </c>
      <c r="H1" s="249">
        <f>'2014基准地价'!M18</f>
        <v>18</v>
      </c>
      <c r="I1" s="1408" t="s">
        <v>1632</v>
      </c>
      <c r="J1" s="1422" t="str">
        <f>'2014基准地价'!N19</f>
        <v>2017-1</v>
      </c>
      <c r="K1" s="298"/>
      <c r="L1" s="1420" t="s">
        <v>968</v>
      </c>
      <c r="M1" s="249">
        <f>'2002基准地价'!B24</f>
        <v>30</v>
      </c>
      <c r="N1" s="1408" t="s">
        <v>1632</v>
      </c>
      <c r="O1" s="1422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0">
        <f ca="1">ROUND(SUMIF(季度2014,$J$1,K4:K19),4)</f>
        <v>0</v>
      </c>
      <c r="L2" s="1415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09" t="s">
        <v>263</v>
      </c>
      <c r="B3" s="1406" t="s">
        <v>277</v>
      </c>
      <c r="C3" s="1406" t="s">
        <v>279</v>
      </c>
      <c r="D3" s="1406" t="s">
        <v>1299</v>
      </c>
      <c r="E3" s="1406" t="s">
        <v>1346</v>
      </c>
      <c r="F3" s="1411" t="s">
        <v>2</v>
      </c>
      <c r="G3" s="1414" t="s">
        <v>277</v>
      </c>
      <c r="H3" s="1406" t="s">
        <v>0</v>
      </c>
      <c r="I3" s="1406" t="s">
        <v>1299</v>
      </c>
      <c r="J3" s="1406" t="s">
        <v>1346</v>
      </c>
      <c r="K3" s="1411" t="s">
        <v>2</v>
      </c>
      <c r="L3" s="1414" t="s">
        <v>277</v>
      </c>
      <c r="M3" s="1406" t="s">
        <v>0</v>
      </c>
      <c r="N3" s="1406" t="s">
        <v>1299</v>
      </c>
      <c r="O3" s="1406" t="s">
        <v>1346</v>
      </c>
      <c r="P3" s="1406" t="s">
        <v>2</v>
      </c>
    </row>
    <row r="4" spans="1:23">
      <c r="A4" s="665" t="s">
        <v>1583</v>
      </c>
      <c r="B4" s="607"/>
      <c r="C4" s="607"/>
      <c r="D4" s="607"/>
      <c r="E4" s="607"/>
      <c r="F4" s="1412"/>
      <c r="G4" s="1417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0">
        <f>AVERAGE(F4:F$18)</f>
        <v>1.32E-2</v>
      </c>
      <c r="L4" s="1417"/>
      <c r="M4" s="28"/>
      <c r="N4" s="28"/>
      <c r="O4" s="28"/>
      <c r="P4" s="28"/>
    </row>
    <row r="5" spans="1:23">
      <c r="A5" s="665" t="s">
        <v>1180</v>
      </c>
      <c r="B5" s="607"/>
      <c r="C5" s="607"/>
      <c r="D5" s="607"/>
      <c r="E5" s="607"/>
      <c r="F5" s="1412"/>
      <c r="G5" s="1417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0">
        <f>AVERAGE(F5:F$18)</f>
        <v>1.32E-2</v>
      </c>
      <c r="L5" s="1417"/>
      <c r="M5" s="28"/>
      <c r="N5" s="28"/>
      <c r="O5" s="28"/>
      <c r="P5" s="28"/>
    </row>
    <row r="6" spans="1:23">
      <c r="A6" s="665" t="s">
        <v>1179</v>
      </c>
      <c r="B6" s="607"/>
      <c r="C6" s="607"/>
      <c r="D6" s="607"/>
      <c r="E6" s="607"/>
      <c r="F6" s="1412"/>
      <c r="G6" s="1417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0">
        <f>AVERAGE(F6:F$18)</f>
        <v>1.32E-2</v>
      </c>
      <c r="L6" s="1417"/>
      <c r="M6" s="28"/>
      <c r="N6" s="28"/>
      <c r="O6" s="28"/>
      <c r="P6" s="28"/>
    </row>
    <row r="7" spans="1:23" ht="15" thickBot="1">
      <c r="A7" s="665" t="s">
        <v>1178</v>
      </c>
      <c r="B7" s="607"/>
      <c r="C7" s="607"/>
      <c r="D7" s="607"/>
      <c r="E7" s="607"/>
      <c r="F7" s="1412"/>
      <c r="G7" s="1417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0">
        <f>AVERAGE(F7:F$18)</f>
        <v>1.32E-2</v>
      </c>
      <c r="L7" s="1417"/>
      <c r="M7" s="28"/>
      <c r="N7" s="28"/>
      <c r="O7" s="28"/>
      <c r="P7" s="28"/>
    </row>
    <row r="8" spans="1:23">
      <c r="A8" s="665" t="s">
        <v>276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3">
        <f>W8/100</f>
        <v>1.5700000000000002E-2</v>
      </c>
      <c r="G8" s="1417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0">
        <f>AVERAGE(F8:F$18)</f>
        <v>1.32E-2</v>
      </c>
      <c r="L8" s="1417"/>
      <c r="M8" s="28"/>
      <c r="N8" s="28"/>
      <c r="O8" s="28"/>
      <c r="P8" s="28"/>
      <c r="R8" s="1423">
        <v>2016</v>
      </c>
      <c r="S8" s="1424">
        <v>4</v>
      </c>
      <c r="T8" s="1424">
        <v>4.5599999999999996</v>
      </c>
      <c r="U8" s="1424">
        <v>2.15</v>
      </c>
      <c r="V8" s="1424">
        <v>5.32</v>
      </c>
      <c r="W8" s="1425">
        <v>1.57</v>
      </c>
    </row>
    <row r="9" spans="1:23">
      <c r="A9" s="665" t="s">
        <v>275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3">
        <f t="shared" ref="F9:F59" si="4">W9/100</f>
        <v>1.9699999999999999E-2</v>
      </c>
      <c r="G9" s="1417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0">
        <f>AVERAGE(F9:F$18)</f>
        <v>1.295E-2</v>
      </c>
      <c r="L9" s="1417"/>
      <c r="M9" s="28"/>
      <c r="N9" s="28"/>
      <c r="O9" s="28"/>
      <c r="P9" s="28"/>
      <c r="R9" s="1426">
        <v>2016</v>
      </c>
      <c r="S9" s="1427">
        <v>3</v>
      </c>
      <c r="T9" s="1427">
        <v>4.12</v>
      </c>
      <c r="U9" s="1427">
        <v>2</v>
      </c>
      <c r="V9" s="1427">
        <v>4.79</v>
      </c>
      <c r="W9" s="1428">
        <v>1.97</v>
      </c>
    </row>
    <row r="10" spans="1:23">
      <c r="A10" s="665" t="s">
        <v>265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3">
        <f t="shared" si="4"/>
        <v>1.41E-2</v>
      </c>
      <c r="G10" s="1417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0">
        <f>AVERAGE(F10:F$18)</f>
        <v>1.2200000000000001E-2</v>
      </c>
      <c r="L10" s="1417"/>
      <c r="M10" s="28"/>
      <c r="N10" s="28"/>
      <c r="O10" s="28"/>
      <c r="P10" s="28"/>
      <c r="R10" s="1429">
        <v>2016</v>
      </c>
      <c r="S10" s="1430">
        <v>2</v>
      </c>
      <c r="T10" s="1430">
        <v>3.85</v>
      </c>
      <c r="U10" s="1430">
        <v>1.95</v>
      </c>
      <c r="V10" s="1430">
        <v>4.4800000000000004</v>
      </c>
      <c r="W10" s="1431">
        <v>1.41</v>
      </c>
    </row>
    <row r="11" spans="1:23">
      <c r="A11" s="665" t="s">
        <v>274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3">
        <f t="shared" si="4"/>
        <v>1.4800000000000001E-2</v>
      </c>
      <c r="G11" s="1417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0">
        <f>AVERAGE(F11:F$18)</f>
        <v>1.1962500000000001E-2</v>
      </c>
      <c r="L11" s="1417"/>
      <c r="M11" s="28"/>
      <c r="N11" s="28"/>
      <c r="O11" s="28"/>
      <c r="P11" s="28"/>
      <c r="R11" s="1426">
        <v>2016</v>
      </c>
      <c r="S11" s="1427">
        <v>1</v>
      </c>
      <c r="T11" s="1427">
        <v>4.09</v>
      </c>
      <c r="U11" s="1427">
        <v>2.93</v>
      </c>
      <c r="V11" s="1427">
        <v>4.54</v>
      </c>
      <c r="W11" s="1428">
        <v>1.48</v>
      </c>
    </row>
    <row r="12" spans="1:23" ht="15" thickBot="1">
      <c r="A12" s="665" t="s">
        <v>273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3">
        <f t="shared" si="4"/>
        <v>1.89E-2</v>
      </c>
      <c r="G12" s="1417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0">
        <f>AVERAGE(F12:F$18)</f>
        <v>1.155714285714286E-2</v>
      </c>
      <c r="L12" s="1417"/>
      <c r="M12" s="28"/>
      <c r="N12" s="28"/>
      <c r="O12" s="28"/>
      <c r="P12" s="28"/>
      <c r="R12" s="1432">
        <v>2015</v>
      </c>
      <c r="S12" s="1433">
        <v>4</v>
      </c>
      <c r="T12" s="1433">
        <v>1.63</v>
      </c>
      <c r="U12" s="1433">
        <v>1.1100000000000001</v>
      </c>
      <c r="V12" s="1433">
        <v>1.77</v>
      </c>
      <c r="W12" s="1434">
        <v>1.89</v>
      </c>
    </row>
    <row r="13" spans="1:23">
      <c r="A13" s="665" t="s">
        <v>272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3">
        <f t="shared" si="4"/>
        <v>1.26E-2</v>
      </c>
      <c r="G13" s="1417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0">
        <f>AVERAGE(F13:F$18)</f>
        <v>1.0333333333333333E-2</v>
      </c>
      <c r="L13" s="1417"/>
      <c r="M13" s="28"/>
      <c r="N13" s="28"/>
      <c r="O13" s="28"/>
      <c r="P13" s="28"/>
      <c r="R13" s="1435">
        <v>2015</v>
      </c>
      <c r="S13" s="1436">
        <v>3</v>
      </c>
      <c r="T13" s="1436">
        <v>1.65</v>
      </c>
      <c r="U13" s="1436">
        <v>0.92</v>
      </c>
      <c r="V13" s="1436">
        <v>1.88</v>
      </c>
      <c r="W13" s="1437">
        <v>1.26</v>
      </c>
    </row>
    <row r="14" spans="1:23">
      <c r="A14" s="665" t="s">
        <v>271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3">
        <f t="shared" si="4"/>
        <v>8.8000000000000005E-3</v>
      </c>
      <c r="G14" s="1417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0">
        <f>AVERAGE(F14:F$18)</f>
        <v>9.8799999999999999E-3</v>
      </c>
      <c r="L14" s="1417"/>
      <c r="M14" s="28"/>
      <c r="N14" s="28"/>
      <c r="O14" s="28"/>
      <c r="P14" s="28"/>
      <c r="R14" s="1429">
        <v>2015</v>
      </c>
      <c r="S14" s="1430">
        <v>2</v>
      </c>
      <c r="T14" s="1430">
        <v>0.77</v>
      </c>
      <c r="U14" s="1430">
        <v>0.69</v>
      </c>
      <c r="V14" s="1430">
        <v>0.8</v>
      </c>
      <c r="W14" s="1431">
        <v>0.88</v>
      </c>
    </row>
    <row r="15" spans="1:23">
      <c r="A15" s="665" t="s">
        <v>270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3">
        <f t="shared" si="4"/>
        <v>9.300000000000001E-3</v>
      </c>
      <c r="G15" s="1417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0">
        <f>AVERAGE(F15:F$18)</f>
        <v>1.0149999999999999E-2</v>
      </c>
      <c r="L15" s="1417"/>
      <c r="M15" s="28"/>
      <c r="N15" s="28"/>
      <c r="O15" s="28"/>
      <c r="P15" s="28"/>
      <c r="R15" s="1426">
        <v>2015</v>
      </c>
      <c r="S15" s="1427">
        <v>1</v>
      </c>
      <c r="T15" s="1427">
        <v>0.51</v>
      </c>
      <c r="U15" s="1427">
        <v>0.54</v>
      </c>
      <c r="V15" s="1427">
        <v>0.48</v>
      </c>
      <c r="W15" s="1428">
        <v>0.93</v>
      </c>
    </row>
    <row r="16" spans="1:23" ht="15" thickBot="1">
      <c r="A16" s="665" t="s">
        <v>269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3">
        <f t="shared" si="4"/>
        <v>8.8999999999999999E-3</v>
      </c>
      <c r="G16" s="1417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0">
        <f>AVERAGE(F16:F$18)</f>
        <v>1.0433333333333334E-2</v>
      </c>
      <c r="L16" s="1417"/>
      <c r="M16" s="28"/>
      <c r="N16" s="28"/>
      <c r="O16" s="28"/>
      <c r="P16" s="28"/>
      <c r="R16" s="1432">
        <v>2014</v>
      </c>
      <c r="S16" s="1433">
        <v>4</v>
      </c>
      <c r="T16" s="1433">
        <v>0.21</v>
      </c>
      <c r="U16" s="1433">
        <v>0.41</v>
      </c>
      <c r="V16" s="1433">
        <v>0.12</v>
      </c>
      <c r="W16" s="1434">
        <v>0.89</v>
      </c>
    </row>
    <row r="17" spans="1:23">
      <c r="A17" s="665" t="s">
        <v>268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3">
        <f t="shared" si="4"/>
        <v>7.1999999999999998E-3</v>
      </c>
      <c r="G17" s="1417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0">
        <f>AVERAGE(F17:F$18)</f>
        <v>1.12E-2</v>
      </c>
      <c r="L17" s="1417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8">
        <v>2014</v>
      </c>
      <c r="S17" s="1439">
        <v>3</v>
      </c>
      <c r="T17" s="1439">
        <v>0.83</v>
      </c>
      <c r="U17" s="1439">
        <v>1.47</v>
      </c>
      <c r="V17" s="1439">
        <v>0.65</v>
      </c>
      <c r="W17" s="1440">
        <v>0.72</v>
      </c>
    </row>
    <row r="18" spans="1:23">
      <c r="A18" s="665" t="s">
        <v>267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3">
        <f t="shared" si="4"/>
        <v>1.52E-2</v>
      </c>
      <c r="G18" s="1417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8">
        <f t="shared" si="5"/>
        <v>1.52E-2</v>
      </c>
      <c r="L18" s="1417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1">
        <v>2014</v>
      </c>
      <c r="S18" s="1442">
        <v>2</v>
      </c>
      <c r="T18" s="1442">
        <v>2.4</v>
      </c>
      <c r="U18" s="1442">
        <v>2.0299999999999998</v>
      </c>
      <c r="V18" s="1442">
        <v>2.59</v>
      </c>
      <c r="W18" s="1443">
        <v>1.52</v>
      </c>
    </row>
    <row r="19" spans="1:23">
      <c r="A19" s="665" t="s">
        <v>266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3">
        <f t="shared" si="4"/>
        <v>1.3600000000000001E-2</v>
      </c>
      <c r="G19" s="1416">
        <v>0</v>
      </c>
      <c r="H19" s="26">
        <v>0</v>
      </c>
      <c r="I19" s="26">
        <v>0</v>
      </c>
      <c r="J19" s="26">
        <v>0</v>
      </c>
      <c r="K19" s="1419">
        <v>0</v>
      </c>
      <c r="L19" s="1417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4">
        <v>2014</v>
      </c>
      <c r="S19" s="1445">
        <v>1</v>
      </c>
      <c r="T19" s="1445">
        <v>2.97</v>
      </c>
      <c r="U19" s="1445">
        <v>2.34</v>
      </c>
      <c r="V19" s="1445">
        <v>3.28</v>
      </c>
      <c r="W19" s="1446">
        <v>1.36</v>
      </c>
    </row>
    <row r="20" spans="1:23" ht="15" thickBot="1">
      <c r="A20" s="665" t="s">
        <v>1584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3">
        <f t="shared" si="4"/>
        <v>8.6999999999999994E-3</v>
      </c>
      <c r="L20" s="1417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8">
        <v>2013</v>
      </c>
      <c r="S20" s="1449">
        <v>4</v>
      </c>
      <c r="T20" s="1449">
        <v>1.83</v>
      </c>
      <c r="U20" s="1449">
        <v>1.68</v>
      </c>
      <c r="V20" s="1449">
        <v>1.97</v>
      </c>
      <c r="W20" s="1450">
        <v>0.87</v>
      </c>
    </row>
    <row r="21" spans="1:23">
      <c r="A21" s="665" t="s">
        <v>1585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3">
        <f t="shared" si="4"/>
        <v>8.8000000000000005E-3</v>
      </c>
      <c r="L21" s="1417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5">
        <v>2013</v>
      </c>
      <c r="S21" s="1436">
        <v>3</v>
      </c>
      <c r="T21" s="1436">
        <v>1.86</v>
      </c>
      <c r="U21" s="1436">
        <v>1.72</v>
      </c>
      <c r="V21" s="1436">
        <v>1.98</v>
      </c>
      <c r="W21" s="1437">
        <v>0.88</v>
      </c>
    </row>
    <row r="22" spans="1:23">
      <c r="A22" s="665" t="s">
        <v>1586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3">
        <f t="shared" si="4"/>
        <v>6.8999999999999999E-3</v>
      </c>
      <c r="L22" s="1417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29">
        <v>2013</v>
      </c>
      <c r="S22" s="1430">
        <v>2</v>
      </c>
      <c r="T22" s="1430">
        <v>2.04</v>
      </c>
      <c r="U22" s="1430">
        <v>2.33</v>
      </c>
      <c r="V22" s="1430">
        <v>2.0699999999999998</v>
      </c>
      <c r="W22" s="1431">
        <v>0.69</v>
      </c>
    </row>
    <row r="23" spans="1:23">
      <c r="A23" s="665" t="s">
        <v>1587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3">
        <f t="shared" si="4"/>
        <v>9.5999999999999992E-3</v>
      </c>
      <c r="L23" s="1417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6">
        <v>2013</v>
      </c>
      <c r="S23" s="1427">
        <v>1</v>
      </c>
      <c r="T23" s="1427">
        <v>1.67</v>
      </c>
      <c r="U23" s="1427">
        <v>1.31</v>
      </c>
      <c r="V23" s="1427">
        <v>1.85</v>
      </c>
      <c r="W23" s="1428">
        <v>0.96</v>
      </c>
    </row>
    <row r="24" spans="1:23" ht="15" thickBot="1">
      <c r="A24" s="665" t="s">
        <v>1591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3">
        <f t="shared" si="4"/>
        <v>9.0000000000000011E-3</v>
      </c>
      <c r="L24" s="1417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2">
        <v>2012</v>
      </c>
      <c r="S24" s="1433">
        <v>4</v>
      </c>
      <c r="T24" s="1433">
        <v>0.91</v>
      </c>
      <c r="U24" s="1433">
        <v>0.68</v>
      </c>
      <c r="V24" s="1433">
        <v>0.98</v>
      </c>
      <c r="W24" s="1434">
        <v>0.9</v>
      </c>
    </row>
    <row r="25" spans="1:23">
      <c r="A25" s="665" t="s">
        <v>1592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3">
        <f t="shared" si="4"/>
        <v>5.7999999999999996E-3</v>
      </c>
      <c r="L25" s="1417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5">
        <v>2012</v>
      </c>
      <c r="S25" s="1436">
        <v>3</v>
      </c>
      <c r="T25" s="1436">
        <v>0.09</v>
      </c>
      <c r="U25" s="1436">
        <v>0.28999999999999998</v>
      </c>
      <c r="V25" s="1436">
        <v>-0.01</v>
      </c>
      <c r="W25" s="1437">
        <v>0.57999999999999996</v>
      </c>
    </row>
    <row r="26" spans="1:23">
      <c r="A26" s="665" t="s">
        <v>1593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3">
        <f t="shared" si="4"/>
        <v>1.24E-2</v>
      </c>
      <c r="L26" s="1417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29">
        <v>2012</v>
      </c>
      <c r="S26" s="1430">
        <v>2</v>
      </c>
      <c r="T26" s="1430">
        <v>0.02</v>
      </c>
      <c r="U26" s="1430">
        <v>0.12</v>
      </c>
      <c r="V26" s="1430">
        <v>-0.08</v>
      </c>
      <c r="W26" s="1431">
        <v>1.24</v>
      </c>
    </row>
    <row r="27" spans="1:23">
      <c r="A27" s="665" t="s">
        <v>1594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3">
        <f t="shared" si="4"/>
        <v>4.5999999999999999E-3</v>
      </c>
      <c r="L27" s="1417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6">
        <v>2012</v>
      </c>
      <c r="S27" s="1427">
        <v>1</v>
      </c>
      <c r="T27" s="1427">
        <v>0.02</v>
      </c>
      <c r="U27" s="1427">
        <v>0.13</v>
      </c>
      <c r="V27" s="1427">
        <v>-0.04</v>
      </c>
      <c r="W27" s="1428">
        <v>0.46</v>
      </c>
    </row>
    <row r="28" spans="1:23" ht="15" thickBot="1">
      <c r="A28" s="665" t="s">
        <v>1595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3">
        <f t="shared" si="4"/>
        <v>4.5999999999999999E-3</v>
      </c>
      <c r="L28" s="1417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2">
        <v>2011</v>
      </c>
      <c r="S28" s="1433">
        <v>4</v>
      </c>
      <c r="T28" s="1433">
        <v>-0.2</v>
      </c>
      <c r="U28" s="1433">
        <v>0.04</v>
      </c>
      <c r="V28" s="1433">
        <v>-0.34</v>
      </c>
      <c r="W28" s="1434">
        <v>0.46</v>
      </c>
    </row>
    <row r="29" spans="1:23">
      <c r="A29" s="665" t="s">
        <v>1596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3">
        <f t="shared" si="4"/>
        <v>5.3E-3</v>
      </c>
      <c r="L29" s="1417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5">
        <v>2011</v>
      </c>
      <c r="S29" s="1436">
        <v>3</v>
      </c>
      <c r="T29" s="1436">
        <v>0.13</v>
      </c>
      <c r="U29" s="1436">
        <v>0.75</v>
      </c>
      <c r="V29" s="1436">
        <v>-0.08</v>
      </c>
      <c r="W29" s="1437">
        <v>0.53</v>
      </c>
    </row>
    <row r="30" spans="1:23">
      <c r="A30" s="665" t="s">
        <v>1597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3">
        <f t="shared" si="4"/>
        <v>-2E-3</v>
      </c>
      <c r="L30" s="1417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29">
        <v>2011</v>
      </c>
      <c r="S30" s="1430">
        <v>2</v>
      </c>
      <c r="T30" s="1430">
        <v>-0.4</v>
      </c>
      <c r="U30" s="1430">
        <v>0.17</v>
      </c>
      <c r="V30" s="1430">
        <v>-0.57999999999999996</v>
      </c>
      <c r="W30" s="1431">
        <v>-0.2</v>
      </c>
    </row>
    <row r="31" spans="1:23">
      <c r="A31" s="665" t="s">
        <v>1598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3">
        <f t="shared" si="4"/>
        <v>7.9500000000000001E-2</v>
      </c>
      <c r="L31" s="1417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6">
        <v>2011</v>
      </c>
      <c r="S31" s="1427">
        <v>1</v>
      </c>
      <c r="T31" s="1427">
        <v>2.65</v>
      </c>
      <c r="U31" s="1427">
        <v>3.76</v>
      </c>
      <c r="V31" s="1427">
        <v>1.89</v>
      </c>
      <c r="W31" s="1428">
        <v>7.95</v>
      </c>
    </row>
    <row r="32" spans="1:23" ht="15" thickBot="1">
      <c r="A32" s="665" t="s">
        <v>1599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3">
        <f t="shared" si="4"/>
        <v>2.7200000000000002E-2</v>
      </c>
      <c r="L32" s="1417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2">
        <v>2010</v>
      </c>
      <c r="S32" s="1433">
        <v>4</v>
      </c>
      <c r="T32" s="1433">
        <v>5.72</v>
      </c>
      <c r="U32" s="1433">
        <v>6.57</v>
      </c>
      <c r="V32" s="1433">
        <v>5.72</v>
      </c>
      <c r="W32" s="1434">
        <v>2.72</v>
      </c>
    </row>
    <row r="33" spans="1:23">
      <c r="A33" s="665" t="s">
        <v>1600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3">
        <f t="shared" si="4"/>
        <v>4.2099999999999999E-2</v>
      </c>
      <c r="L33" s="1417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5">
        <v>2010</v>
      </c>
      <c r="S33" s="1436">
        <v>3</v>
      </c>
      <c r="T33" s="1436">
        <v>4.7300000000000004</v>
      </c>
      <c r="U33" s="1436">
        <v>3.9</v>
      </c>
      <c r="V33" s="1436">
        <v>5.03</v>
      </c>
      <c r="W33" s="1437">
        <v>4.21</v>
      </c>
    </row>
    <row r="34" spans="1:23">
      <c r="A34" s="665" t="s">
        <v>1601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3">
        <f t="shared" si="4"/>
        <v>4.2300000000000004E-2</v>
      </c>
      <c r="L34" s="1417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29">
        <v>2010</v>
      </c>
      <c r="S34" s="1430">
        <v>2</v>
      </c>
      <c r="T34" s="1430">
        <v>4.6900000000000004</v>
      </c>
      <c r="U34" s="1430">
        <v>3.55</v>
      </c>
      <c r="V34" s="1430">
        <v>5.07</v>
      </c>
      <c r="W34" s="1431">
        <v>4.2300000000000004</v>
      </c>
    </row>
    <row r="35" spans="1:23">
      <c r="A35" s="665" t="s">
        <v>1602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3">
        <f t="shared" si="4"/>
        <v>4.5100000000000001E-2</v>
      </c>
      <c r="L35" s="1417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6">
        <v>2010</v>
      </c>
      <c r="S35" s="1427">
        <v>1</v>
      </c>
      <c r="T35" s="1427">
        <v>5.4</v>
      </c>
      <c r="U35" s="1427">
        <v>3.2</v>
      </c>
      <c r="V35" s="1427">
        <v>6.16</v>
      </c>
      <c r="W35" s="1428">
        <v>4.51</v>
      </c>
    </row>
    <row r="36" spans="1:23" ht="15" thickBot="1">
      <c r="A36" s="665" t="s">
        <v>1603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3">
        <f t="shared" si="4"/>
        <v>6.7000000000000002E-3</v>
      </c>
      <c r="L36" s="1417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2">
        <v>2009</v>
      </c>
      <c r="S36" s="1433">
        <v>4</v>
      </c>
      <c r="T36" s="1433">
        <v>2.2999999999999998</v>
      </c>
      <c r="U36" s="1433">
        <v>1.04</v>
      </c>
      <c r="V36" s="1433">
        <v>2.84</v>
      </c>
      <c r="W36" s="1434">
        <v>0.67</v>
      </c>
    </row>
    <row r="37" spans="1:23">
      <c r="A37" s="665" t="s">
        <v>1604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3">
        <f t="shared" si="4"/>
        <v>8.5000000000000006E-3</v>
      </c>
      <c r="L37" s="1417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5">
        <v>2009</v>
      </c>
      <c r="S37" s="1436">
        <v>3</v>
      </c>
      <c r="T37" s="1436">
        <v>2.1</v>
      </c>
      <c r="U37" s="1436">
        <v>1.86</v>
      </c>
      <c r="V37" s="1436">
        <v>2.29</v>
      </c>
      <c r="W37" s="1437">
        <v>0.85</v>
      </c>
    </row>
    <row r="38" spans="1:23">
      <c r="A38" s="665" t="s">
        <v>1605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3">
        <f t="shared" si="4"/>
        <v>-2.07E-2</v>
      </c>
      <c r="L38" s="1417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29">
        <v>2009</v>
      </c>
      <c r="S38" s="1430">
        <v>2</v>
      </c>
      <c r="T38" s="1430">
        <v>0.86</v>
      </c>
      <c r="U38" s="1430">
        <v>-1.1299999999999999</v>
      </c>
      <c r="V38" s="1430">
        <v>1.79</v>
      </c>
      <c r="W38" s="1431">
        <v>-2.0699999999999998</v>
      </c>
    </row>
    <row r="39" spans="1:23">
      <c r="A39" s="665" t="s">
        <v>1606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3">
        <f t="shared" si="4"/>
        <v>1.52E-2</v>
      </c>
      <c r="L39" s="1417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6">
        <v>2009</v>
      </c>
      <c r="S39" s="1427">
        <v>1</v>
      </c>
      <c r="T39" s="1427">
        <v>-2.64</v>
      </c>
      <c r="U39" s="1427">
        <v>-2.5299999999999998</v>
      </c>
      <c r="V39" s="1427">
        <v>-3.02</v>
      </c>
      <c r="W39" s="1428">
        <v>1.52</v>
      </c>
    </row>
    <row r="40" spans="1:23" ht="15" thickBot="1">
      <c r="A40" s="665" t="s">
        <v>1607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3">
        <f t="shared" si="4"/>
        <v>-1.66E-2</v>
      </c>
      <c r="L40" s="1417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2">
        <v>2008</v>
      </c>
      <c r="S40" s="1433">
        <v>4</v>
      </c>
      <c r="T40" s="1433">
        <v>1.73</v>
      </c>
      <c r="U40" s="1433">
        <v>0.03</v>
      </c>
      <c r="V40" s="1433">
        <v>2.59</v>
      </c>
      <c r="W40" s="1434">
        <v>-1.66</v>
      </c>
    </row>
    <row r="41" spans="1:23">
      <c r="A41" s="665" t="s">
        <v>1608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3">
        <f t="shared" si="4"/>
        <v>2.2200000000000001E-2</v>
      </c>
      <c r="L41" s="1417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5">
        <v>2008</v>
      </c>
      <c r="S41" s="1436">
        <v>3</v>
      </c>
      <c r="T41" s="1436">
        <v>1.96</v>
      </c>
      <c r="U41" s="1436">
        <v>2.36</v>
      </c>
      <c r="V41" s="1436">
        <v>1.82</v>
      </c>
      <c r="W41" s="1437">
        <v>2.2200000000000002</v>
      </c>
    </row>
    <row r="42" spans="1:23">
      <c r="A42" s="665" t="s">
        <v>1609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3">
        <f t="shared" si="4"/>
        <v>6.8600000000000008E-2</v>
      </c>
      <c r="L42" s="1417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29">
        <v>2008</v>
      </c>
      <c r="S42" s="1430">
        <v>2</v>
      </c>
      <c r="T42" s="1430">
        <v>4.93</v>
      </c>
      <c r="U42" s="1430">
        <v>7.38</v>
      </c>
      <c r="V42" s="1430">
        <v>3.98</v>
      </c>
      <c r="W42" s="1431">
        <v>6.86</v>
      </c>
    </row>
    <row r="43" spans="1:23">
      <c r="A43" s="665" t="s">
        <v>1610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3">
        <f t="shared" si="4"/>
        <v>4.82E-2</v>
      </c>
      <c r="L43" s="1417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6">
        <v>2008</v>
      </c>
      <c r="S43" s="1427">
        <v>1</v>
      </c>
      <c r="T43" s="1427">
        <v>4.1399999999999997</v>
      </c>
      <c r="U43" s="1427">
        <v>3.45</v>
      </c>
      <c r="V43" s="1427">
        <v>4.95</v>
      </c>
      <c r="W43" s="1428">
        <v>4.82</v>
      </c>
    </row>
    <row r="44" spans="1:23" ht="15" thickBot="1">
      <c r="A44" s="665" t="s">
        <v>1611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3">
        <f t="shared" si="4"/>
        <v>5.3600000000000002E-2</v>
      </c>
      <c r="L44" s="1417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2">
        <v>2007</v>
      </c>
      <c r="S44" s="1433">
        <v>4</v>
      </c>
      <c r="T44" s="1433">
        <v>5.51</v>
      </c>
      <c r="U44" s="1433">
        <v>4.8899999999999997</v>
      </c>
      <c r="V44" s="1433">
        <v>6.43</v>
      </c>
      <c r="W44" s="1434">
        <v>5.36</v>
      </c>
    </row>
    <row r="45" spans="1:23">
      <c r="A45" s="665" t="s">
        <v>1612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3">
        <f t="shared" si="4"/>
        <v>5.7999999999999996E-2</v>
      </c>
      <c r="L45" s="1417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5">
        <v>2007</v>
      </c>
      <c r="S45" s="1436">
        <v>3</v>
      </c>
      <c r="T45" s="1436">
        <v>8.65</v>
      </c>
      <c r="U45" s="1436">
        <v>8.06</v>
      </c>
      <c r="V45" s="1436">
        <v>9.94</v>
      </c>
      <c r="W45" s="1437">
        <v>5.8</v>
      </c>
    </row>
    <row r="46" spans="1:23">
      <c r="A46" s="665" t="s">
        <v>1613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3">
        <f t="shared" si="4"/>
        <v>6.7099999999999993E-2</v>
      </c>
      <c r="L46" s="1417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29">
        <v>2007</v>
      </c>
      <c r="S46" s="1430">
        <v>2</v>
      </c>
      <c r="T46" s="1430">
        <v>3.67</v>
      </c>
      <c r="U46" s="1430">
        <v>2.3199999999999998</v>
      </c>
      <c r="V46" s="1430">
        <v>5.0199999999999996</v>
      </c>
      <c r="W46" s="1431">
        <v>6.71</v>
      </c>
    </row>
    <row r="47" spans="1:23">
      <c r="A47" s="665" t="s">
        <v>1614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3">
        <f t="shared" si="4"/>
        <v>3.2099999999999997E-2</v>
      </c>
      <c r="L47" s="1417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6">
        <v>2007</v>
      </c>
      <c r="S47" s="1427">
        <v>1</v>
      </c>
      <c r="T47" s="1427">
        <v>3.58</v>
      </c>
      <c r="U47" s="1427">
        <v>3.08</v>
      </c>
      <c r="V47" s="1427">
        <v>4.34</v>
      </c>
      <c r="W47" s="1428">
        <v>3.21</v>
      </c>
    </row>
    <row r="48" spans="1:23" ht="15" thickBot="1">
      <c r="A48" s="665" t="s">
        <v>1615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3">
        <f t="shared" si="4"/>
        <v>5.4100000000000002E-2</v>
      </c>
      <c r="L48" s="1417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2">
        <v>2006</v>
      </c>
      <c r="S48" s="1433">
        <v>4</v>
      </c>
      <c r="T48" s="1433">
        <v>3.79</v>
      </c>
      <c r="U48" s="1433">
        <v>2.21</v>
      </c>
      <c r="V48" s="1433">
        <v>5.65</v>
      </c>
      <c r="W48" s="1434">
        <v>5.41</v>
      </c>
    </row>
    <row r="49" spans="1:28">
      <c r="A49" s="665" t="s">
        <v>1588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3">
        <f t="shared" si="4"/>
        <v>1.0800000000000001E-2</v>
      </c>
      <c r="L49" s="1417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5">
        <v>2006</v>
      </c>
      <c r="S49" s="1436">
        <v>3</v>
      </c>
      <c r="T49" s="1436">
        <v>0.92</v>
      </c>
      <c r="U49" s="1436">
        <v>1.08</v>
      </c>
      <c r="V49" s="1436">
        <v>0.73</v>
      </c>
      <c r="W49" s="1437">
        <v>1.08</v>
      </c>
    </row>
    <row r="50" spans="1:28">
      <c r="A50" s="665" t="s">
        <v>1589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3">
        <f t="shared" si="4"/>
        <v>9.4999999999999998E-3</v>
      </c>
      <c r="L50" s="1417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29">
        <v>2006</v>
      </c>
      <c r="S50" s="1430">
        <v>2</v>
      </c>
      <c r="T50" s="1430">
        <v>0.96</v>
      </c>
      <c r="U50" s="1430">
        <v>0.25</v>
      </c>
      <c r="V50" s="1430">
        <v>1.9</v>
      </c>
      <c r="W50" s="1431">
        <v>0.95</v>
      </c>
    </row>
    <row r="51" spans="1:28">
      <c r="A51" s="665" t="s">
        <v>1590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3">
        <f t="shared" si="4"/>
        <v>4.0000000000000002E-4</v>
      </c>
      <c r="L51" s="1417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6">
        <v>2006</v>
      </c>
      <c r="S51" s="1427">
        <v>1</v>
      </c>
      <c r="T51" s="1427">
        <v>2.29</v>
      </c>
      <c r="U51" s="1427">
        <v>3.72</v>
      </c>
      <c r="V51" s="1427">
        <v>0.75</v>
      </c>
      <c r="W51" s="1428">
        <v>0.04</v>
      </c>
    </row>
    <row r="52" spans="1:28" ht="15" thickBot="1">
      <c r="A52" s="665" t="s">
        <v>1616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3">
        <f t="shared" si="4"/>
        <v>7.7800000000000008E-2</v>
      </c>
      <c r="L52" s="1417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2">
        <v>2005</v>
      </c>
      <c r="S52" s="1433">
        <v>4</v>
      </c>
      <c r="T52" s="1433">
        <v>3.29</v>
      </c>
      <c r="U52" s="1433">
        <v>1.44</v>
      </c>
      <c r="V52" s="1433">
        <v>0.66</v>
      </c>
      <c r="W52" s="1434">
        <v>7.78</v>
      </c>
    </row>
    <row r="53" spans="1:28">
      <c r="A53" s="665" t="s">
        <v>1617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3">
        <f t="shared" si="4"/>
        <v>6.4000000000000003E-3</v>
      </c>
      <c r="L53" s="1417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5">
        <v>2005</v>
      </c>
      <c r="S53" s="1436">
        <v>3</v>
      </c>
      <c r="T53" s="1436">
        <v>0.46</v>
      </c>
      <c r="U53" s="1436">
        <v>0.32</v>
      </c>
      <c r="V53" s="1436">
        <v>0.42</v>
      </c>
      <c r="W53" s="1437">
        <v>0.64</v>
      </c>
    </row>
    <row r="54" spans="1:28">
      <c r="A54" s="665" t="s">
        <v>1618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3">
        <f t="shared" si="4"/>
        <v>7.9000000000000008E-3</v>
      </c>
      <c r="L54" s="1417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29">
        <v>2005</v>
      </c>
      <c r="S54" s="1430">
        <v>2</v>
      </c>
      <c r="T54" s="1430">
        <v>0.47</v>
      </c>
      <c r="U54" s="1430">
        <v>0.1</v>
      </c>
      <c r="V54" s="1430">
        <v>0.52</v>
      </c>
      <c r="W54" s="1431">
        <v>0.79</v>
      </c>
    </row>
    <row r="55" spans="1:28">
      <c r="A55" s="665" t="s">
        <v>1619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3">
        <f t="shared" si="4"/>
        <v>5.5000000000000005E-3</v>
      </c>
      <c r="L55" s="1417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6">
        <v>2005</v>
      </c>
      <c r="S55" s="1427">
        <v>1</v>
      </c>
      <c r="T55" s="1427">
        <v>0.43</v>
      </c>
      <c r="U55" s="1427">
        <v>0.37</v>
      </c>
      <c r="V55" s="1427">
        <v>0.37</v>
      </c>
      <c r="W55" s="1428">
        <v>0.55000000000000004</v>
      </c>
    </row>
    <row r="56" spans="1:28" ht="15" thickBot="1">
      <c r="A56" s="665" t="s">
        <v>1620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3">
        <f t="shared" si="4"/>
        <v>0</v>
      </c>
      <c r="L56" s="1417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2">
        <v>2004</v>
      </c>
      <c r="S56" s="1433">
        <v>4</v>
      </c>
      <c r="T56" s="1433">
        <v>0.33</v>
      </c>
      <c r="U56" s="1433">
        <v>0.5</v>
      </c>
      <c r="V56" s="1433">
        <v>0.5</v>
      </c>
      <c r="W56" s="1434">
        <v>0</v>
      </c>
    </row>
    <row r="57" spans="1:28">
      <c r="A57" s="665" t="s">
        <v>1621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3">
        <f t="shared" si="4"/>
        <v>5.9999999999999995E-4</v>
      </c>
      <c r="L57" s="1417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5">
        <v>2004</v>
      </c>
      <c r="S57" s="1436">
        <v>3</v>
      </c>
      <c r="T57" s="1436">
        <v>0.56000000000000005</v>
      </c>
      <c r="U57" s="1436">
        <v>0.8</v>
      </c>
      <c r="V57" s="1436">
        <v>0.83</v>
      </c>
      <c r="W57" s="1437">
        <v>0.06</v>
      </c>
    </row>
    <row r="58" spans="1:28" ht="15" thickBot="1">
      <c r="A58" s="665" t="s">
        <v>1622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3">
        <f t="shared" si="4"/>
        <v>0</v>
      </c>
      <c r="L58" s="1417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29">
        <v>2004</v>
      </c>
      <c r="S58" s="1430">
        <v>2</v>
      </c>
      <c r="T58" s="1430">
        <v>1</v>
      </c>
      <c r="U58" s="1430">
        <v>1.5</v>
      </c>
      <c r="V58" s="1430">
        <v>1.5</v>
      </c>
      <c r="W58" s="1431">
        <v>0</v>
      </c>
    </row>
    <row r="59" spans="1:28" ht="15" thickBot="1">
      <c r="A59" s="665" t="s">
        <v>1623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3">
        <f t="shared" si="4"/>
        <v>0</v>
      </c>
      <c r="L59" s="1417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1">
        <v>2004</v>
      </c>
      <c r="S59" s="1452">
        <v>1</v>
      </c>
      <c r="T59" s="1452">
        <v>0.33</v>
      </c>
      <c r="U59" s="1452">
        <v>0.5</v>
      </c>
      <c r="V59" s="1452">
        <v>0.5</v>
      </c>
      <c r="W59" s="1453">
        <v>0</v>
      </c>
      <c r="X59" s="1423">
        <v>2004</v>
      </c>
      <c r="Y59" s="1424">
        <v>121</v>
      </c>
      <c r="Z59" s="1424">
        <v>122</v>
      </c>
      <c r="AA59" s="1424">
        <v>124</v>
      </c>
      <c r="AB59" s="1425">
        <v>107</v>
      </c>
    </row>
    <row r="60" spans="1:28" ht="15" thickBot="1">
      <c r="A60" s="665" t="s">
        <v>1624</v>
      </c>
      <c r="B60" s="1454">
        <f t="shared" ref="B60:C67" si="6">T60</f>
        <v>1.14E-2</v>
      </c>
      <c r="C60" s="1454">
        <f t="shared" si="6"/>
        <v>1.5599999999999999E-2</v>
      </c>
      <c r="D60" s="492">
        <f t="shared" si="2"/>
        <v>1.5599999999999999E-2</v>
      </c>
      <c r="E60" s="1454">
        <f t="shared" ref="E60:F67" si="7">V60</f>
        <v>7.0000000000000001E-3</v>
      </c>
      <c r="F60" s="1455">
        <f t="shared" si="7"/>
        <v>4.7999999999999996E-3</v>
      </c>
      <c r="L60" s="1417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3">
        <v>2003</v>
      </c>
      <c r="S60" s="1433">
        <v>4</v>
      </c>
      <c r="T60" s="1456">
        <f>ROUND(Y60/Y61-1,4)</f>
        <v>1.14E-2</v>
      </c>
      <c r="U60" s="1456">
        <f t="shared" ref="U60:W60" si="8">ROUND(Z60/Z61-1,4)</f>
        <v>1.5599999999999999E-2</v>
      </c>
      <c r="V60" s="1456">
        <f t="shared" si="8"/>
        <v>7.0000000000000001E-3</v>
      </c>
      <c r="W60" s="1456">
        <f t="shared" si="8"/>
        <v>4.7999999999999996E-3</v>
      </c>
      <c r="X60" s="1426">
        <v>2003</v>
      </c>
      <c r="Y60" s="1427">
        <v>111</v>
      </c>
      <c r="Z60" s="1427">
        <v>114</v>
      </c>
      <c r="AA60" s="1427">
        <v>108</v>
      </c>
      <c r="AB60" s="1428">
        <v>104</v>
      </c>
    </row>
    <row r="61" spans="1:28">
      <c r="A61" s="665" t="s">
        <v>1625</v>
      </c>
      <c r="B61" s="1454">
        <f t="shared" si="6"/>
        <v>1.15E-2</v>
      </c>
      <c r="C61" s="1454">
        <f t="shared" si="6"/>
        <v>1.5800000000000002E-2</v>
      </c>
      <c r="D61" s="492">
        <f t="shared" si="2"/>
        <v>1.5800000000000002E-2</v>
      </c>
      <c r="E61" s="1454">
        <f t="shared" si="7"/>
        <v>7.0000000000000001E-3</v>
      </c>
      <c r="F61" s="1455">
        <f t="shared" si="7"/>
        <v>4.8999999999999998E-3</v>
      </c>
      <c r="L61" s="1417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6">
        <v>3</v>
      </c>
      <c r="T61" s="1456">
        <f t="shared" ref="T61:T66" si="9">ROUND(Y61/Y62-1,4)</f>
        <v>1.15E-2</v>
      </c>
      <c r="U61" s="1456">
        <f t="shared" ref="U61:U66" si="10">ROUND(Z61/Z62-1,4)</f>
        <v>1.5800000000000002E-2</v>
      </c>
      <c r="V61" s="1456">
        <f t="shared" ref="V61:V66" si="11">ROUND(AA61/AA62-1,4)</f>
        <v>7.0000000000000001E-3</v>
      </c>
      <c r="W61" s="1456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>
      <c r="A62" s="665" t="s">
        <v>1626</v>
      </c>
      <c r="B62" s="1454">
        <f t="shared" si="6"/>
        <v>1.17E-2</v>
      </c>
      <c r="C62" s="1454">
        <f t="shared" si="6"/>
        <v>1.61E-2</v>
      </c>
      <c r="D62" s="492">
        <f t="shared" si="2"/>
        <v>1.61E-2</v>
      </c>
      <c r="E62" s="1454">
        <f t="shared" si="7"/>
        <v>7.1000000000000004E-3</v>
      </c>
      <c r="F62" s="1455">
        <f t="shared" si="7"/>
        <v>4.8999999999999998E-3</v>
      </c>
      <c r="L62" s="1417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0">
        <v>2</v>
      </c>
      <c r="T62" s="1456">
        <f t="shared" si="9"/>
        <v>1.17E-2</v>
      </c>
      <c r="U62" s="1456">
        <f t="shared" si="10"/>
        <v>1.61E-2</v>
      </c>
      <c r="V62" s="1456">
        <f t="shared" si="11"/>
        <v>7.1000000000000004E-3</v>
      </c>
      <c r="W62" s="1456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1627</v>
      </c>
      <c r="B63" s="1454">
        <f t="shared" si="6"/>
        <v>1.18E-2</v>
      </c>
      <c r="C63" s="1454">
        <f t="shared" si="6"/>
        <v>1.6400000000000001E-2</v>
      </c>
      <c r="D63" s="492">
        <f t="shared" si="2"/>
        <v>1.6400000000000001E-2</v>
      </c>
      <c r="E63" s="1454">
        <f t="shared" si="7"/>
        <v>7.1000000000000004E-3</v>
      </c>
      <c r="F63" s="1455">
        <f t="shared" si="7"/>
        <v>4.8999999999999998E-3</v>
      </c>
      <c r="L63" s="1417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2">
        <v>1</v>
      </c>
      <c r="T63" s="1456">
        <f t="shared" si="9"/>
        <v>1.18E-2</v>
      </c>
      <c r="U63" s="1456">
        <f t="shared" si="10"/>
        <v>1.6400000000000001E-2</v>
      </c>
      <c r="V63" s="1456">
        <f t="shared" si="11"/>
        <v>7.1000000000000004E-3</v>
      </c>
      <c r="W63" s="1456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1628</v>
      </c>
      <c r="B64" s="1454">
        <f t="shared" si="6"/>
        <v>9.4999999999999998E-3</v>
      </c>
      <c r="C64" s="1454">
        <f t="shared" si="6"/>
        <v>9.4000000000000004E-3</v>
      </c>
      <c r="D64" s="492">
        <f t="shared" si="2"/>
        <v>9.4000000000000004E-3</v>
      </c>
      <c r="E64" s="1454">
        <f t="shared" si="7"/>
        <v>4.7999999999999996E-3</v>
      </c>
      <c r="F64" s="1455">
        <f t="shared" si="7"/>
        <v>4.8999999999999998E-3</v>
      </c>
      <c r="L64" s="1417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6">
        <v>2002</v>
      </c>
      <c r="S64" s="1433">
        <v>4</v>
      </c>
      <c r="T64" s="1456">
        <f t="shared" si="9"/>
        <v>9.4999999999999998E-3</v>
      </c>
      <c r="U64" s="1456">
        <f t="shared" si="10"/>
        <v>9.4000000000000004E-3</v>
      </c>
      <c r="V64" s="1456">
        <f t="shared" si="11"/>
        <v>4.7999999999999996E-3</v>
      </c>
      <c r="W64" s="1456">
        <f t="shared" si="12"/>
        <v>4.8999999999999998E-3</v>
      </c>
      <c r="X64" s="1429">
        <v>2002</v>
      </c>
      <c r="Y64" s="1430">
        <v>106</v>
      </c>
      <c r="Z64" s="1430">
        <v>107</v>
      </c>
      <c r="AA64" s="1430">
        <v>105</v>
      </c>
      <c r="AB64" s="1431">
        <v>102</v>
      </c>
    </row>
    <row r="65" spans="1:28">
      <c r="A65" s="665" t="s">
        <v>1629</v>
      </c>
      <c r="B65" s="1454">
        <f t="shared" si="6"/>
        <v>9.5999999999999992E-3</v>
      </c>
      <c r="C65" s="1454">
        <f t="shared" si="6"/>
        <v>9.4999999999999998E-3</v>
      </c>
      <c r="D65" s="492">
        <f t="shared" si="2"/>
        <v>9.4999999999999998E-3</v>
      </c>
      <c r="E65" s="1454">
        <f t="shared" si="7"/>
        <v>4.7999999999999996E-3</v>
      </c>
      <c r="F65" s="1455">
        <f t="shared" si="7"/>
        <v>5.0000000000000001E-3</v>
      </c>
      <c r="L65" s="1417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6">
        <v>3</v>
      </c>
      <c r="T65" s="1456">
        <f t="shared" si="9"/>
        <v>9.5999999999999992E-3</v>
      </c>
      <c r="U65" s="1456">
        <f t="shared" si="10"/>
        <v>9.4999999999999998E-3</v>
      </c>
      <c r="V65" s="1456">
        <f t="shared" si="11"/>
        <v>4.7999999999999996E-3</v>
      </c>
      <c r="W65" s="1456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>
      <c r="A66" s="665" t="s">
        <v>1630</v>
      </c>
      <c r="B66" s="1454">
        <f t="shared" si="6"/>
        <v>9.7000000000000003E-3</v>
      </c>
      <c r="C66" s="1454">
        <f t="shared" si="6"/>
        <v>9.5999999999999992E-3</v>
      </c>
      <c r="D66" s="492">
        <f t="shared" si="2"/>
        <v>9.5999999999999992E-3</v>
      </c>
      <c r="E66" s="1454">
        <f t="shared" si="7"/>
        <v>4.7999999999999996E-3</v>
      </c>
      <c r="F66" s="1455">
        <f t="shared" si="7"/>
        <v>5.0000000000000001E-3</v>
      </c>
      <c r="L66" s="1417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0">
        <v>2</v>
      </c>
      <c r="T66" s="1456">
        <f t="shared" si="9"/>
        <v>9.7000000000000003E-3</v>
      </c>
      <c r="U66" s="1456">
        <f t="shared" si="10"/>
        <v>9.5999999999999992E-3</v>
      </c>
      <c r="V66" s="1456">
        <f t="shared" si="11"/>
        <v>4.7999999999999996E-3</v>
      </c>
      <c r="W66" s="1456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1631</v>
      </c>
      <c r="B67" s="1454">
        <f t="shared" si="6"/>
        <v>9.7999999999999997E-3</v>
      </c>
      <c r="C67" s="1454">
        <f t="shared" si="6"/>
        <v>9.7000000000000003E-3</v>
      </c>
      <c r="D67" s="492">
        <f t="shared" si="2"/>
        <v>9.7000000000000003E-3</v>
      </c>
      <c r="E67" s="1454">
        <f t="shared" si="7"/>
        <v>4.8999999999999998E-3</v>
      </c>
      <c r="F67" s="1455">
        <f t="shared" si="7"/>
        <v>5.0000000000000001E-3</v>
      </c>
      <c r="L67" s="1416">
        <v>0</v>
      </c>
      <c r="M67" s="26">
        <v>0</v>
      </c>
      <c r="N67" s="26">
        <v>0</v>
      </c>
      <c r="O67" s="26">
        <v>0</v>
      </c>
      <c r="P67" s="26">
        <v>0</v>
      </c>
      <c r="S67" s="1452">
        <v>1</v>
      </c>
      <c r="T67" s="1456">
        <f>ROUND(Y67/Y68-1,4)</f>
        <v>9.7999999999999997E-3</v>
      </c>
      <c r="U67" s="1456">
        <f>ROUND(Z67/Z68-1,4)</f>
        <v>9.7000000000000003E-3</v>
      </c>
      <c r="V67" s="1456">
        <f>ROUND(AA67/AA68-1,4)</f>
        <v>4.8999999999999998E-3</v>
      </c>
      <c r="W67" s="1456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6">
        <v>2001</v>
      </c>
      <c r="Y68" s="1427">
        <v>102</v>
      </c>
      <c r="Z68" s="1427">
        <v>103</v>
      </c>
      <c r="AA68" s="1427">
        <v>103</v>
      </c>
      <c r="AB68" s="1428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7.399999999999999"/>
  <cols>
    <col min="1" max="1" width="9.44140625" style="443" customWidth="1"/>
    <col min="2" max="2" width="30" style="1284" customWidth="1"/>
    <col min="3" max="3" width="45.44140625" style="1283" customWidth="1"/>
    <col min="4" max="4" width="2.6640625" style="1283" customWidth="1"/>
    <col min="5" max="5" width="5.88671875" style="1283" customWidth="1"/>
    <col min="6" max="6" width="30.21875" style="1284" customWidth="1"/>
    <col min="7" max="7" width="41.88671875" style="1285" customWidth="1"/>
    <col min="8" max="8" width="11.88671875" style="444" customWidth="1"/>
    <col min="9" max="9" width="16.77734375" style="445" customWidth="1"/>
    <col min="10" max="10" width="2.6640625" style="444" customWidth="1"/>
    <col min="11" max="11" width="11.88671875" style="444" customWidth="1"/>
    <col min="12" max="12" width="16.77734375" style="445" customWidth="1"/>
    <col min="13" max="13" width="2.6640625" style="444" customWidth="1"/>
    <col min="14" max="14" width="11.88671875" style="444" customWidth="1"/>
    <col min="15" max="15" width="16.77734375" style="445" customWidth="1"/>
    <col min="16" max="16" width="2.6640625" style="444" customWidth="1"/>
    <col min="17" max="17" width="11.88671875" style="444" customWidth="1"/>
    <col min="18" max="18" width="16.77734375" style="441" customWidth="1"/>
    <col min="19" max="29" width="9" style="442"/>
    <col min="30" max="16384" width="9" style="443"/>
  </cols>
  <sheetData>
    <row r="1" spans="1:18" ht="18" thickBot="1">
      <c r="A1" s="508" t="s">
        <v>203</v>
      </c>
      <c r="B1" s="496"/>
      <c r="C1" s="496"/>
      <c r="D1" s="1252"/>
      <c r="E1" s="496"/>
      <c r="F1" s="496"/>
      <c r="G1" s="496"/>
    </row>
    <row r="2" spans="1:18" ht="18" thickBot="1">
      <c r="A2" s="1253"/>
      <c r="B2" s="1254"/>
      <c r="C2" s="1255" t="s">
        <v>204</v>
      </c>
      <c r="D2" s="1256"/>
      <c r="E2" s="1257"/>
      <c r="F2" s="1257"/>
      <c r="G2" s="1258" t="s">
        <v>205</v>
      </c>
    </row>
    <row r="3" spans="1:18" ht="69.599999999999994">
      <c r="A3" s="1259" t="s">
        <v>206</v>
      </c>
      <c r="B3" s="1260" t="s">
        <v>4</v>
      </c>
      <c r="C3" s="1261" t="s">
        <v>215</v>
      </c>
      <c r="D3" s="1256"/>
      <c r="E3" s="1262" t="s">
        <v>207</v>
      </c>
      <c r="F3" s="1260" t="s">
        <v>208</v>
      </c>
      <c r="G3" s="1263" t="s">
        <v>1733</v>
      </c>
    </row>
    <row r="4" spans="1:18" ht="52.2">
      <c r="A4" s="1264"/>
      <c r="B4" s="1265" t="s">
        <v>209</v>
      </c>
      <c r="C4" s="1266" t="s">
        <v>216</v>
      </c>
      <c r="D4" s="1256"/>
      <c r="E4" s="1267"/>
      <c r="F4" s="1268" t="s">
        <v>210</v>
      </c>
      <c r="G4" s="1269" t="s">
        <v>217</v>
      </c>
    </row>
    <row r="5" spans="1:18" ht="34.799999999999997">
      <c r="A5" s="1264"/>
      <c r="B5" s="1265" t="s">
        <v>211</v>
      </c>
      <c r="C5" s="1266" t="s">
        <v>218</v>
      </c>
      <c r="D5" s="1270"/>
      <c r="E5" s="1267"/>
      <c r="F5" s="1268" t="s">
        <v>212</v>
      </c>
      <c r="G5" s="1271" t="s">
        <v>951</v>
      </c>
    </row>
    <row r="6" spans="1:18" ht="52.2">
      <c r="A6" s="1264"/>
      <c r="B6" s="1268" t="s">
        <v>7</v>
      </c>
      <c r="C6" s="1269" t="s">
        <v>199</v>
      </c>
      <c r="D6" s="1270"/>
      <c r="E6" s="1267"/>
      <c r="F6" s="1268" t="s">
        <v>200</v>
      </c>
      <c r="G6" s="1272" t="s">
        <v>201</v>
      </c>
    </row>
    <row r="7" spans="1:18" ht="34.799999999999997">
      <c r="A7" s="1264"/>
      <c r="B7" s="1268" t="s">
        <v>11</v>
      </c>
      <c r="C7" s="1271" t="s">
        <v>951</v>
      </c>
      <c r="D7" s="1256"/>
      <c r="E7" s="1267"/>
      <c r="F7" s="1273" t="s">
        <v>1188</v>
      </c>
      <c r="G7" s="1274" t="s">
        <v>1190</v>
      </c>
    </row>
    <row r="8" spans="1:18" ht="34.799999999999997">
      <c r="A8" s="1264"/>
      <c r="B8" s="1268" t="s">
        <v>10</v>
      </c>
      <c r="C8" s="1266" t="s">
        <v>202</v>
      </c>
      <c r="D8" s="1270"/>
      <c r="E8" s="1267"/>
      <c r="F8" s="1273" t="s">
        <v>1189</v>
      </c>
      <c r="G8" s="1269" t="s">
        <v>1191</v>
      </c>
    </row>
    <row r="9" spans="1:18" ht="34.799999999999997">
      <c r="A9" s="1264"/>
      <c r="B9" s="1273" t="s">
        <v>1188</v>
      </c>
      <c r="C9" s="1269" t="s">
        <v>1190</v>
      </c>
      <c r="D9" s="1256"/>
      <c r="E9" s="1267"/>
      <c r="F9" s="1268" t="s">
        <v>9</v>
      </c>
      <c r="G9" s="1275"/>
    </row>
    <row r="10" spans="1:18">
      <c r="A10" s="1264"/>
      <c r="B10" s="1273" t="s">
        <v>1189</v>
      </c>
      <c r="C10" s="1269" t="s">
        <v>1191</v>
      </c>
      <c r="D10" s="1256"/>
      <c r="E10" s="1267"/>
      <c r="F10" s="1268" t="s">
        <v>213</v>
      </c>
      <c r="G10" s="1271"/>
    </row>
    <row r="11" spans="1:18" s="442" customFormat="1" ht="18" thickBot="1">
      <c r="A11" s="1264"/>
      <c r="B11" s="1268" t="s">
        <v>9</v>
      </c>
      <c r="C11" s="1275"/>
      <c r="D11" s="444"/>
      <c r="E11" s="1276"/>
      <c r="F11" s="1277" t="s">
        <v>214</v>
      </c>
      <c r="G11" s="1278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8" thickBot="1">
      <c r="A12" s="1279"/>
      <c r="B12" s="1277" t="s">
        <v>8</v>
      </c>
      <c r="C12" s="1280"/>
      <c r="D12" s="444"/>
      <c r="E12" s="1281"/>
      <c r="F12" s="1281"/>
      <c r="G12" s="1282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4.4"/>
  <cols>
    <col min="1" max="1" width="26.44140625" style="1732" customWidth="1"/>
    <col min="2" max="9" width="15.77734375" style="1732" customWidth="1"/>
    <col min="10" max="16384" width="9" style="1732"/>
  </cols>
  <sheetData>
    <row r="1" spans="1:10" ht="16.2">
      <c r="A1" s="1728" t="s">
        <v>1701</v>
      </c>
      <c r="B1" s="1729">
        <f>SUM(B14:B23)</f>
        <v>70.400000000000006</v>
      </c>
      <c r="C1" s="1727"/>
      <c r="D1" s="1727"/>
      <c r="E1" s="1727"/>
      <c r="F1" s="1727"/>
      <c r="G1" s="1730"/>
      <c r="H1" s="1731"/>
      <c r="I1" s="1731"/>
    </row>
    <row r="2" spans="1:10" ht="16.2">
      <c r="A2" s="1728" t="s">
        <v>1702</v>
      </c>
      <c r="B2" s="1729">
        <f>SUM(C14:C23)</f>
        <v>0</v>
      </c>
      <c r="C2" s="1727"/>
      <c r="D2" s="1727"/>
      <c r="E2" s="1727"/>
      <c r="F2" s="1727"/>
      <c r="G2" s="1730"/>
      <c r="H2" s="1731"/>
      <c r="I2" s="1731"/>
    </row>
    <row r="3" spans="1:10" ht="15.6">
      <c r="A3" s="1729" t="s">
        <v>1703</v>
      </c>
      <c r="B3" s="1733">
        <f>主表!B3</f>
        <v>39948</v>
      </c>
      <c r="C3" s="1727"/>
      <c r="D3" s="1727"/>
      <c r="E3" s="1727"/>
      <c r="F3" s="1727"/>
      <c r="G3" s="1730"/>
      <c r="H3" s="1731"/>
      <c r="I3" s="1731"/>
    </row>
    <row r="4" spans="1:10" ht="31.2">
      <c r="A4" s="1729" t="s">
        <v>1704</v>
      </c>
      <c r="B4" s="1729" t="s">
        <v>1705</v>
      </c>
      <c r="C4" s="1729" t="s">
        <v>1706</v>
      </c>
      <c r="D4" s="1729" t="s">
        <v>1707</v>
      </c>
      <c r="E4" s="1727"/>
      <c r="F4" s="1730"/>
      <c r="G4" s="1730"/>
      <c r="H4" s="1731"/>
      <c r="I4" s="1731"/>
    </row>
    <row r="5" spans="1:10" ht="15.6">
      <c r="A5" s="1729" t="s">
        <v>1708</v>
      </c>
      <c r="B5" s="1729">
        <f>SUM(D14:D23)</f>
        <v>0</v>
      </c>
      <c r="C5" s="1729">
        <f>ROUND(B5*10000/$B$1,0)</f>
        <v>0</v>
      </c>
      <c r="D5" s="1729" t="e">
        <f>ROUND(B5*10000/$B$2,0)</f>
        <v>#DIV/0!</v>
      </c>
      <c r="E5" s="1727"/>
      <c r="F5" s="1730"/>
      <c r="G5" s="1730"/>
      <c r="H5" s="1731"/>
      <c r="I5" s="1731"/>
    </row>
    <row r="6" spans="1:10" ht="15.6">
      <c r="A6" s="1729" t="s">
        <v>1709</v>
      </c>
      <c r="B6" s="1729">
        <f>SUM(G14:G23)</f>
        <v>0</v>
      </c>
      <c r="C6" s="1729">
        <f>ROUND(B6*10000/$B$1,0)</f>
        <v>0</v>
      </c>
      <c r="D6" s="1729" t="e">
        <f>ROUND(B6*10000/$B$2,0)</f>
        <v>#DIV/0!</v>
      </c>
      <c r="E6" s="1727"/>
      <c r="F6" s="1730"/>
      <c r="G6" s="1730"/>
      <c r="H6" s="1731"/>
      <c r="I6" s="1731"/>
    </row>
    <row r="7" spans="1:10" ht="15.6">
      <c r="A7" s="1729" t="s">
        <v>1710</v>
      </c>
      <c r="B7" s="1729">
        <f>SUM(H14:H23)</f>
        <v>0</v>
      </c>
      <c r="C7" s="1729">
        <f>ROUND(B7*10000/$B$1,0)</f>
        <v>0</v>
      </c>
      <c r="D7" s="1729" t="e">
        <f>ROUND(B7*10000/$B$2,0)</f>
        <v>#DIV/0!</v>
      </c>
      <c r="E7" s="1727"/>
      <c r="F7" s="1730"/>
      <c r="G7" s="1730"/>
      <c r="H7" s="1731"/>
      <c r="I7" s="1731"/>
    </row>
    <row r="8" spans="1:10" ht="15.6">
      <c r="A8" s="1729" t="s">
        <v>1711</v>
      </c>
      <c r="B8" s="1729">
        <f>SUM(I14:I23)</f>
        <v>0</v>
      </c>
      <c r="C8" s="1729">
        <f>ROUND(B8*10000/$B$1,0)</f>
        <v>0</v>
      </c>
      <c r="D8" s="1729" t="e">
        <f>ROUND(B8*10000/$B$2,0)</f>
        <v>#DIV/0!</v>
      </c>
      <c r="E8" s="1727"/>
      <c r="F8" s="1730"/>
      <c r="G8" s="1730"/>
      <c r="H8" s="1731"/>
      <c r="I8" s="1731"/>
    </row>
    <row r="9" spans="1:10" ht="15.6">
      <c r="A9" s="1729" t="s">
        <v>1712</v>
      </c>
      <c r="B9" s="1582"/>
      <c r="C9" s="1727"/>
      <c r="D9" s="1727"/>
      <c r="E9" s="1727"/>
      <c r="F9" s="1730"/>
      <c r="G9" s="1730"/>
      <c r="H9" s="1731"/>
      <c r="I9" s="1731"/>
    </row>
    <row r="10" spans="1:10" ht="15.6">
      <c r="A10" s="1729" t="s">
        <v>1713</v>
      </c>
      <c r="B10" s="1582"/>
      <c r="C10" s="1727"/>
      <c r="D10" s="1727"/>
      <c r="E10" s="1727"/>
      <c r="F10" s="1730"/>
      <c r="G10" s="1730"/>
      <c r="H10" s="1731"/>
      <c r="I10" s="1731"/>
    </row>
    <row r="11" spans="1:10" ht="15.6">
      <c r="A11" s="1728" t="s">
        <v>1732</v>
      </c>
      <c r="B11" s="1728">
        <f ca="1">结果表!B19</f>
        <v>0</v>
      </c>
      <c r="C11" s="1728">
        <f ca="1">结果表!B18</f>
        <v>0</v>
      </c>
      <c r="D11" s="1727"/>
      <c r="E11" s="1727"/>
      <c r="F11" s="1730"/>
      <c r="G11" s="1730"/>
      <c r="H11" s="1731"/>
      <c r="I11" s="1731"/>
    </row>
    <row r="12" spans="1:10" ht="15.6">
      <c r="A12" s="1727"/>
      <c r="B12" s="1727"/>
      <c r="C12" s="1727"/>
      <c r="D12" s="1727"/>
      <c r="E12" s="1727"/>
      <c r="F12" s="1730"/>
      <c r="G12" s="1730"/>
      <c r="H12" s="1731"/>
      <c r="I12" s="1731"/>
    </row>
    <row r="13" spans="1:10" ht="31.2">
      <c r="A13" s="1734" t="s">
        <v>1714</v>
      </c>
      <c r="B13" s="1735" t="s">
        <v>1715</v>
      </c>
      <c r="C13" s="1735" t="s">
        <v>1716</v>
      </c>
      <c r="D13" s="1735" t="s">
        <v>1717</v>
      </c>
      <c r="E13" s="1729" t="s">
        <v>1706</v>
      </c>
      <c r="F13" s="1729" t="s">
        <v>1718</v>
      </c>
      <c r="G13" s="1735" t="s">
        <v>1719</v>
      </c>
      <c r="H13" s="1735" t="s">
        <v>1720</v>
      </c>
      <c r="I13" s="1735" t="s">
        <v>1721</v>
      </c>
      <c r="J13" s="1736"/>
    </row>
    <row r="14" spans="1:10" ht="15.6">
      <c r="A14" s="1737" t="s">
        <v>1722</v>
      </c>
      <c r="B14" s="1738">
        <f>主表!B7</f>
        <v>70.400000000000006</v>
      </c>
      <c r="C14" s="1738">
        <f>主表!B6</f>
        <v>0</v>
      </c>
      <c r="D14" s="1738"/>
      <c r="E14" s="1738">
        <f>ROUND(D14*10000/B14,0)</f>
        <v>0</v>
      </c>
      <c r="F14" s="1738" t="e">
        <f>ROUND(D14*10000/C14,0)</f>
        <v>#DIV/0!</v>
      </c>
      <c r="G14" s="1738"/>
      <c r="H14" s="1738"/>
      <c r="I14" s="1738"/>
      <c r="J14" s="1736"/>
    </row>
    <row r="15" spans="1:10" ht="15.6">
      <c r="A15" s="1737" t="s">
        <v>1723</v>
      </c>
      <c r="B15" s="1739"/>
      <c r="C15" s="1739"/>
      <c r="D15" s="1739"/>
      <c r="E15" s="1738" t="e">
        <f t="shared" ref="E15:E23" si="0">ROUND(D15*10000/B15,0)</f>
        <v>#DIV/0!</v>
      </c>
      <c r="F15" s="1738" t="e">
        <f t="shared" ref="F15:F23" si="1">ROUND(D15*10000/C15,0)</f>
        <v>#DIV/0!</v>
      </c>
      <c r="G15" s="1582"/>
      <c r="H15" s="1582"/>
      <c r="I15" s="1739"/>
      <c r="J15" s="1736"/>
    </row>
    <row r="16" spans="1:10" ht="15.6">
      <c r="A16" s="1737" t="s">
        <v>1724</v>
      </c>
      <c r="B16" s="1739"/>
      <c r="C16" s="1739"/>
      <c r="D16" s="1739"/>
      <c r="E16" s="1738" t="e">
        <f t="shared" si="0"/>
        <v>#DIV/0!</v>
      </c>
      <c r="F16" s="1738" t="e">
        <f t="shared" si="1"/>
        <v>#DIV/0!</v>
      </c>
      <c r="G16" s="1534"/>
      <c r="H16" s="1534"/>
      <c r="I16" s="1740"/>
    </row>
    <row r="17" spans="1:9" ht="15.6">
      <c r="A17" s="1737" t="s">
        <v>1725</v>
      </c>
      <c r="B17" s="1739"/>
      <c r="C17" s="1739"/>
      <c r="D17" s="1739"/>
      <c r="E17" s="1738" t="e">
        <f t="shared" si="0"/>
        <v>#DIV/0!</v>
      </c>
      <c r="F17" s="1738" t="e">
        <f t="shared" si="1"/>
        <v>#DIV/0!</v>
      </c>
      <c r="G17" s="1534"/>
      <c r="H17" s="1534"/>
      <c r="I17" s="1740"/>
    </row>
    <row r="18" spans="1:9" ht="15.6">
      <c r="A18" s="1737" t="s">
        <v>1726</v>
      </c>
      <c r="B18" s="1739"/>
      <c r="C18" s="1739"/>
      <c r="D18" s="1739"/>
      <c r="E18" s="1738" t="e">
        <f t="shared" si="0"/>
        <v>#DIV/0!</v>
      </c>
      <c r="F18" s="1738" t="e">
        <f t="shared" si="1"/>
        <v>#DIV/0!</v>
      </c>
      <c r="G18" s="1740"/>
      <c r="H18" s="1740"/>
      <c r="I18" s="1740"/>
    </row>
    <row r="19" spans="1:9" ht="15.6">
      <c r="A19" s="1737" t="s">
        <v>1727</v>
      </c>
      <c r="B19" s="1739"/>
      <c r="C19" s="1739"/>
      <c r="D19" s="1739"/>
      <c r="E19" s="1738" t="e">
        <f t="shared" si="0"/>
        <v>#DIV/0!</v>
      </c>
      <c r="F19" s="1738" t="e">
        <f t="shared" si="1"/>
        <v>#DIV/0!</v>
      </c>
      <c r="G19" s="1740"/>
      <c r="H19" s="1740"/>
      <c r="I19" s="1740"/>
    </row>
    <row r="20" spans="1:9" ht="15.6">
      <c r="A20" s="1737" t="s">
        <v>1728</v>
      </c>
      <c r="B20" s="1739"/>
      <c r="C20" s="1739"/>
      <c r="D20" s="1739"/>
      <c r="E20" s="1738" t="e">
        <f t="shared" si="0"/>
        <v>#DIV/0!</v>
      </c>
      <c r="F20" s="1738" t="e">
        <f t="shared" si="1"/>
        <v>#DIV/0!</v>
      </c>
      <c r="G20" s="1740"/>
      <c r="H20" s="1740"/>
      <c r="I20" s="1740"/>
    </row>
    <row r="21" spans="1:9" ht="15.6">
      <c r="A21" s="1737" t="s">
        <v>1729</v>
      </c>
      <c r="B21" s="1739"/>
      <c r="C21" s="1739"/>
      <c r="D21" s="1739"/>
      <c r="E21" s="1738" t="e">
        <f t="shared" si="0"/>
        <v>#DIV/0!</v>
      </c>
      <c r="F21" s="1738" t="e">
        <f t="shared" si="1"/>
        <v>#DIV/0!</v>
      </c>
      <c r="G21" s="1740"/>
      <c r="H21" s="1740"/>
      <c r="I21" s="1740"/>
    </row>
    <row r="22" spans="1:9" ht="15.6">
      <c r="A22" s="1737" t="s">
        <v>1730</v>
      </c>
      <c r="B22" s="1739"/>
      <c r="C22" s="1739"/>
      <c r="D22" s="1739"/>
      <c r="E22" s="1738" t="e">
        <f t="shared" si="0"/>
        <v>#DIV/0!</v>
      </c>
      <c r="F22" s="1738" t="e">
        <f t="shared" si="1"/>
        <v>#DIV/0!</v>
      </c>
      <c r="G22" s="1740"/>
      <c r="H22" s="1740"/>
      <c r="I22" s="1740"/>
    </row>
    <row r="23" spans="1:9" ht="15.6">
      <c r="A23" s="1737" t="s">
        <v>1731</v>
      </c>
      <c r="B23" s="1739"/>
      <c r="C23" s="1739"/>
      <c r="D23" s="1739"/>
      <c r="E23" s="1582" t="e">
        <f t="shared" si="0"/>
        <v>#DIV/0!</v>
      </c>
      <c r="F23" s="1582" t="e">
        <f t="shared" si="1"/>
        <v>#DIV/0!</v>
      </c>
      <c r="G23" s="1740"/>
      <c r="H23" s="1740"/>
      <c r="I23" s="1740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640625" defaultRowHeight="12"/>
  <cols>
    <col min="1" max="1" width="14.88671875" style="189" customWidth="1"/>
    <col min="2" max="2" width="12.6640625" style="189"/>
    <col min="3" max="3" width="26.77734375" style="189" customWidth="1"/>
    <col min="4" max="4" width="10.77734375" style="189" customWidth="1"/>
    <col min="5" max="6" width="12.6640625" style="189"/>
    <col min="7" max="7" width="25.6640625" style="189" customWidth="1"/>
    <col min="8" max="8" width="9.6640625" style="189" customWidth="1"/>
    <col min="9" max="9" width="28" style="189" customWidth="1"/>
    <col min="10" max="10" width="12.6640625" style="227"/>
    <col min="11" max="11" width="14.109375" style="227" bestFit="1" customWidth="1"/>
    <col min="12" max="24" width="12.6640625" style="227"/>
    <col min="25" max="33" width="12.6640625" style="221"/>
    <col min="34" max="16384" width="12.6640625" style="189"/>
  </cols>
  <sheetData>
    <row r="1" spans="1:33" ht="17.399999999999999">
      <c r="A1" s="2" t="s">
        <v>34</v>
      </c>
      <c r="B1" s="188"/>
      <c r="C1" s="188"/>
      <c r="D1" s="188"/>
      <c r="E1" s="188"/>
      <c r="F1" s="188"/>
      <c r="G1" s="188"/>
      <c r="H1" s="1741"/>
      <c r="I1" s="1741"/>
      <c r="X1" s="221"/>
      <c r="AG1" s="189"/>
    </row>
    <row r="2" spans="1:33" ht="18" thickBot="1">
      <c r="A2" s="1770" t="s">
        <v>1352</v>
      </c>
      <c r="B2" s="1770"/>
      <c r="C2" s="1770"/>
      <c r="D2" s="1770"/>
      <c r="E2" s="1770"/>
      <c r="F2" s="1770"/>
      <c r="G2" s="1770"/>
      <c r="H2" s="1742"/>
      <c r="I2" s="1741"/>
      <c r="X2" s="221"/>
      <c r="AG2" s="189"/>
    </row>
    <row r="3" spans="1:33" ht="14.4">
      <c r="A3" s="1771" t="s">
        <v>1353</v>
      </c>
      <c r="B3" s="1772"/>
      <c r="C3" s="1773"/>
      <c r="D3" s="1774" t="s">
        <v>1354</v>
      </c>
      <c r="E3" s="1772"/>
      <c r="F3" s="1772"/>
      <c r="G3" s="1775"/>
      <c r="H3" s="1742"/>
      <c r="I3" s="1741"/>
      <c r="X3" s="221"/>
      <c r="AG3" s="189"/>
    </row>
    <row r="4" spans="1:33" ht="28.8">
      <c r="A4" s="1291" t="s">
        <v>1355</v>
      </c>
      <c r="B4" s="1292" t="s">
        <v>1356</v>
      </c>
      <c r="C4" s="1293" t="s">
        <v>1357</v>
      </c>
      <c r="D4" s="1776" t="s">
        <v>1355</v>
      </c>
      <c r="E4" s="1777"/>
      <c r="F4" s="1292" t="s">
        <v>1356</v>
      </c>
      <c r="G4" s="1294" t="s">
        <v>1358</v>
      </c>
      <c r="H4" s="1742"/>
      <c r="I4" s="1741"/>
      <c r="X4" s="221"/>
      <c r="AG4" s="189"/>
    </row>
    <row r="5" spans="1:33" ht="14.4">
      <c r="A5" s="1778" t="s">
        <v>1359</v>
      </c>
      <c r="B5" s="1779">
        <f>主表!F5</f>
        <v>10543</v>
      </c>
      <c r="C5" s="1780" t="s">
        <v>1360</v>
      </c>
      <c r="D5" s="1777" t="s">
        <v>1361</v>
      </c>
      <c r="E5" s="1781"/>
      <c r="F5" s="1295">
        <f>SUM(F6:F10)</f>
        <v>0</v>
      </c>
      <c r="G5" s="1296" t="s">
        <v>1634</v>
      </c>
      <c r="H5" s="1742"/>
      <c r="I5" s="1741"/>
      <c r="X5" s="221"/>
      <c r="AG5" s="189"/>
    </row>
    <row r="6" spans="1:33" ht="43.2">
      <c r="A6" s="1778"/>
      <c r="B6" s="1779"/>
      <c r="C6" s="1780"/>
      <c r="D6" s="1782" t="s">
        <v>1382</v>
      </c>
      <c r="E6" s="1295" t="s">
        <v>1362</v>
      </c>
      <c r="F6" s="1295">
        <f>主表!F14</f>
        <v>0</v>
      </c>
      <c r="G6" s="1296" t="s">
        <v>1363</v>
      </c>
      <c r="H6" s="1742"/>
      <c r="I6" s="1741"/>
      <c r="X6" s="221"/>
      <c r="AG6" s="189"/>
    </row>
    <row r="7" spans="1:33" ht="14.4">
      <c r="A7" s="1778"/>
      <c r="B7" s="1779"/>
      <c r="C7" s="1780"/>
      <c r="D7" s="1782"/>
      <c r="E7" s="1295" t="s">
        <v>1364</v>
      </c>
      <c r="F7" s="1295">
        <f>主表!F15</f>
        <v>0</v>
      </c>
      <c r="G7" s="1296"/>
      <c r="H7" s="1742"/>
      <c r="I7" s="1741"/>
      <c r="X7" s="221"/>
      <c r="AG7" s="189"/>
    </row>
    <row r="8" spans="1:33" ht="14.4">
      <c r="A8" s="1778"/>
      <c r="B8" s="1779"/>
      <c r="C8" s="1780"/>
      <c r="D8" s="1783" t="s">
        <v>1383</v>
      </c>
      <c r="E8" s="1784"/>
      <c r="F8" s="1295">
        <f>主表!F16</f>
        <v>0</v>
      </c>
      <c r="G8" s="1296" t="str">
        <f>"按建安工程费的"&amp;TEXT(主表!G16,"0.0%")&amp;"计取"</f>
        <v>按建安工程费的0.0%计取</v>
      </c>
      <c r="H8" s="1742"/>
      <c r="I8" s="1741"/>
      <c r="X8" s="221"/>
      <c r="AG8" s="189"/>
    </row>
    <row r="9" spans="1:33" ht="14.4">
      <c r="A9" s="1778"/>
      <c r="B9" s="1779"/>
      <c r="C9" s="1780"/>
      <c r="D9" s="1783" t="s">
        <v>1384</v>
      </c>
      <c r="E9" s="1784"/>
      <c r="F9" s="1295">
        <f>主表!F18</f>
        <v>0</v>
      </c>
      <c r="G9" s="1296" t="str">
        <f>"按建安工程费的"&amp;TEXT(主表!G18,"0.0%")&amp;"计取"</f>
        <v>按建安工程费的0.0%计取</v>
      </c>
      <c r="H9" s="1742"/>
      <c r="I9" s="1741"/>
      <c r="X9" s="221"/>
      <c r="AG9" s="189"/>
    </row>
    <row r="10" spans="1:33" ht="14.4">
      <c r="A10" s="1778"/>
      <c r="B10" s="1779"/>
      <c r="C10" s="1780"/>
      <c r="D10" s="1783" t="s">
        <v>1385</v>
      </c>
      <c r="E10" s="1784"/>
      <c r="F10" s="1295">
        <f>主表!F19</f>
        <v>0</v>
      </c>
      <c r="G10" s="1296" t="str">
        <f>"按建安工程费的"&amp;TEXT(主表!G19,"0.0%")&amp;"计取"</f>
        <v>按建安工程费的0.0%计取</v>
      </c>
      <c r="H10" s="1742"/>
      <c r="I10" s="1741"/>
      <c r="X10" s="221"/>
      <c r="AG10" s="189"/>
    </row>
    <row r="11" spans="1:33" ht="14.4">
      <c r="A11" s="1291" t="s">
        <v>1365</v>
      </c>
      <c r="B11" s="1295">
        <f>主表!F8</f>
        <v>0</v>
      </c>
      <c r="C11" s="1297" t="str">
        <f>"按前期开发成本的"&amp;TEXT(主表!G8,"0.0%")&amp;"计取"</f>
        <v>按前期开发成本的0.0%计取</v>
      </c>
      <c r="D11" s="1777" t="s">
        <v>1366</v>
      </c>
      <c r="E11" s="1781"/>
      <c r="F11" s="1295">
        <f>主表!F20</f>
        <v>0</v>
      </c>
      <c r="G11" s="1296" t="str">
        <f>"按房屋建设成本的"&amp;主表!G20&amp;"计取"</f>
        <v>按房屋建设成本的计取</v>
      </c>
      <c r="H11" s="1742"/>
      <c r="I11" s="1741"/>
      <c r="X11" s="221"/>
      <c r="AG11" s="189"/>
    </row>
    <row r="12" spans="1:33" ht="43.2">
      <c r="A12" s="1291" t="s">
        <v>1367</v>
      </c>
      <c r="B12" s="1295">
        <f ca="1">主表!F9</f>
        <v>0</v>
      </c>
      <c r="C12" s="1298" t="str">
        <f ca="1">"前期开发期为"&amp;主表!B24&amp;"年，贷款利率为"&amp;TEXT(主表!G9,"0.00%")&amp;"，"&amp;主表!H9</f>
        <v>前期开发期为年，贷款利率为3.00%，计息期为年，复利计息</v>
      </c>
      <c r="D12" s="1777" t="s">
        <v>1368</v>
      </c>
      <c r="E12" s="1781"/>
      <c r="F12" s="1295">
        <f ca="1">主表!F21</f>
        <v>0</v>
      </c>
      <c r="G12" s="1296" t="str">
        <f ca="1">"房屋建设期为"&amp;主表!B23&amp;"年，贷款利率为"&amp;TEXT(主表!G21,"0.00%")&amp;"，"&amp;主表!H21</f>
        <v>房屋建设期为年，贷款利率为0.00%，计息期为年，复利计息</v>
      </c>
      <c r="H12" s="1742"/>
      <c r="I12" s="1741"/>
      <c r="X12" s="221"/>
      <c r="AG12" s="189"/>
    </row>
    <row r="13" spans="1:33" ht="28.8">
      <c r="A13" s="1291" t="s">
        <v>1369</v>
      </c>
      <c r="B13" s="1295">
        <f>主表!F10</f>
        <v>0</v>
      </c>
      <c r="C13" s="1298" t="str">
        <f>"按前期开发成本及其管理费用的"&amp;TEXT(主表!G10,"0%")&amp;"计取"</f>
        <v>按前期开发成本及其管理费用的0%计取</v>
      </c>
      <c r="D13" s="1777" t="s">
        <v>1369</v>
      </c>
      <c r="E13" s="1781"/>
      <c r="F13" s="1295">
        <f>主表!F22</f>
        <v>0</v>
      </c>
      <c r="G13" s="1296" t="str">
        <f>"按房屋建设成本及其管理费用的"&amp;TEXT(主表!G22,"0%")&amp;"计取"</f>
        <v>按房屋建设成本及其管理费用的0%计取</v>
      </c>
      <c r="H13" s="1742"/>
      <c r="I13" s="1741"/>
      <c r="X13" s="221"/>
      <c r="AG13" s="189"/>
    </row>
    <row r="14" spans="1:33" ht="14.4">
      <c r="A14" s="1291" t="s">
        <v>1370</v>
      </c>
      <c r="B14" s="1295">
        <f ca="1">SUM(B5:B13)</f>
        <v>10543</v>
      </c>
      <c r="C14" s="1298" t="s">
        <v>1371</v>
      </c>
      <c r="D14" s="1777" t="s">
        <v>1370</v>
      </c>
      <c r="E14" s="1781"/>
      <c r="F14" s="1295">
        <f ca="1">F5+F11+F12+F13</f>
        <v>0</v>
      </c>
      <c r="G14" s="1296" t="s">
        <v>1371</v>
      </c>
      <c r="H14" s="1742"/>
      <c r="I14" s="1741"/>
      <c r="X14" s="221"/>
      <c r="AG14" s="189"/>
    </row>
    <row r="15" spans="1:33" ht="29.4" thickBot="1">
      <c r="A15" s="1291" t="s">
        <v>1372</v>
      </c>
      <c r="B15" s="1779">
        <f ca="1">主表!F24</f>
        <v>10543</v>
      </c>
      <c r="C15" s="1785"/>
      <c r="D15" s="1783" t="s">
        <v>1373</v>
      </c>
      <c r="E15" s="1784"/>
      <c r="F15" s="1784"/>
      <c r="G15" s="1786"/>
      <c r="H15" s="1742"/>
      <c r="I15" s="1741"/>
      <c r="X15" s="221"/>
      <c r="AG15" s="189"/>
    </row>
    <row r="16" spans="1:33" ht="29.4" thickBot="1">
      <c r="A16" s="1291" t="s">
        <v>1374</v>
      </c>
      <c r="B16" s="1779">
        <f ca="1">主表!F25</f>
        <v>74.222700000000003</v>
      </c>
      <c r="C16" s="1785"/>
      <c r="D16" s="1783" t="s">
        <v>1375</v>
      </c>
      <c r="E16" s="1784"/>
      <c r="F16" s="1784"/>
      <c r="G16" s="1786"/>
      <c r="H16" s="1300" t="str">
        <f ca="1">NUMBERSTRING(INT(B16*10000),2)&amp;"元整"</f>
        <v>柒拾肆万贰仟贰佰贰拾柒元整</v>
      </c>
      <c r="I16" s="1301"/>
      <c r="X16" s="221"/>
      <c r="AG16" s="189"/>
    </row>
    <row r="17" spans="1:33" ht="14.4">
      <c r="A17" s="1291" t="s">
        <v>1376</v>
      </c>
      <c r="B17" s="1792">
        <f>主表!F33</f>
        <v>0</v>
      </c>
      <c r="C17" s="1785"/>
      <c r="D17" s="1783" t="s">
        <v>1377</v>
      </c>
      <c r="E17" s="1784"/>
      <c r="F17" s="1784"/>
      <c r="G17" s="1786"/>
      <c r="H17" s="1742"/>
      <c r="I17" s="1741"/>
      <c r="X17" s="221"/>
      <c r="AG17" s="189"/>
    </row>
    <row r="18" spans="1:33" ht="29.4" thickBot="1">
      <c r="A18" s="1291" t="s">
        <v>1378</v>
      </c>
      <c r="B18" s="1779">
        <f ca="1">主表!F35</f>
        <v>0</v>
      </c>
      <c r="C18" s="1785"/>
      <c r="D18" s="1783" t="s">
        <v>1379</v>
      </c>
      <c r="E18" s="1784"/>
      <c r="F18" s="1784"/>
      <c r="G18" s="1786"/>
      <c r="H18" s="1742"/>
      <c r="I18" s="1741"/>
      <c r="X18" s="221"/>
      <c r="AG18" s="189"/>
    </row>
    <row r="19" spans="1:33" ht="29.4" thickBot="1">
      <c r="A19" s="1299" t="s">
        <v>1380</v>
      </c>
      <c r="B19" s="1787">
        <f ca="1">主表!F36</f>
        <v>0</v>
      </c>
      <c r="C19" s="1788"/>
      <c r="D19" s="1789" t="s">
        <v>1381</v>
      </c>
      <c r="E19" s="1790"/>
      <c r="F19" s="1790"/>
      <c r="G19" s="1791"/>
      <c r="H19" s="1300" t="str">
        <f ca="1">NUMBERSTRING(INT(B19*10000),2)&amp;"元整"</f>
        <v>零元整</v>
      </c>
      <c r="I19" s="1301"/>
      <c r="X19" s="221"/>
      <c r="AG19" s="189"/>
    </row>
    <row r="20" spans="1:33" ht="20.399999999999999">
      <c r="A20" s="409" t="s">
        <v>219</v>
      </c>
      <c r="B20" s="410"/>
      <c r="C20" s="411" t="s">
        <v>25</v>
      </c>
      <c r="D20" s="1743"/>
      <c r="E20" s="1743"/>
      <c r="F20" s="1743"/>
      <c r="G20" s="1744"/>
      <c r="H20" s="1745"/>
      <c r="I20" s="174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4"/>
      <c r="E23" s="1304"/>
      <c r="F23" s="1304"/>
      <c r="G23" s="1305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220</v>
      </c>
      <c r="E26" s="229"/>
      <c r="F26" s="229"/>
      <c r="G26" s="1306" t="s">
        <v>221</v>
      </c>
      <c r="H26" s="227"/>
      <c r="I26" s="227"/>
      <c r="W26" s="221"/>
      <c r="X26" s="221"/>
      <c r="AF26" s="189"/>
      <c r="AG26" s="189"/>
    </row>
    <row r="27" spans="1:33">
      <c r="A27" s="1302" t="s">
        <v>222</v>
      </c>
      <c r="B27" s="1303"/>
      <c r="C27" s="1303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6" t="s">
        <v>223</v>
      </c>
      <c r="H29" s="227"/>
      <c r="I29" s="227"/>
      <c r="W29" s="221"/>
      <c r="X29" s="221"/>
      <c r="AF29" s="189"/>
      <c r="AG29" s="189"/>
    </row>
    <row r="30" spans="1:33">
      <c r="A30" s="230" t="s">
        <v>224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6" t="s">
        <v>223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15" sqref="B15"/>
    </sheetView>
  </sheetViews>
  <sheetFormatPr defaultColWidth="9" defaultRowHeight="15.75" customHeight="1"/>
  <cols>
    <col min="1" max="1" width="25.6640625" style="1237" customWidth="1"/>
    <col min="2" max="2" width="15.6640625" style="1161" customWidth="1"/>
    <col min="3" max="3" width="6" style="1161" customWidth="1"/>
    <col min="4" max="4" width="7.77734375" style="1161" customWidth="1"/>
    <col min="5" max="5" width="22.21875" style="1161" customWidth="1"/>
    <col min="6" max="6" width="12.33203125" style="1161" customWidth="1"/>
    <col min="7" max="7" width="9" style="1161"/>
    <col min="8" max="8" width="29" style="1161" customWidth="1"/>
    <col min="9" max="9" width="27.88671875" style="1238" customWidth="1"/>
    <col min="10" max="10" width="14.33203125" style="1238" customWidth="1"/>
    <col min="11" max="12" width="9" style="1161"/>
    <col min="13" max="13" width="2.109375" style="1161" customWidth="1"/>
    <col min="14" max="14" width="18.109375" style="1161" customWidth="1"/>
    <col min="15" max="15" width="10.88671875" style="1161" customWidth="1"/>
    <col min="16" max="16" width="17.21875" style="1161" customWidth="1"/>
    <col min="17" max="17" width="14" style="1161" customWidth="1"/>
    <col min="18" max="16384" width="9" style="1161"/>
  </cols>
  <sheetData>
    <row r="1" spans="1:18" ht="26.25" customHeight="1" thickBot="1">
      <c r="A1" s="1155" t="s">
        <v>1216</v>
      </c>
      <c r="B1" s="1156"/>
      <c r="C1" s="1157"/>
      <c r="D1" s="1157"/>
      <c r="E1" s="1158"/>
      <c r="F1" s="1157"/>
      <c r="G1" s="1157"/>
      <c r="H1" s="1159"/>
      <c r="I1" s="1160"/>
      <c r="J1" s="1160"/>
      <c r="K1" s="1211"/>
      <c r="L1" s="1211"/>
    </row>
    <row r="2" spans="1:18" ht="15.75" customHeight="1" thickTop="1" thickBot="1">
      <c r="A2" s="1581" t="s">
        <v>1283</v>
      </c>
      <c r="B2" s="1162"/>
      <c r="C2" s="1163"/>
      <c r="D2" s="1798" t="s">
        <v>1274</v>
      </c>
      <c r="E2" s="1799"/>
      <c r="F2" s="1799"/>
      <c r="G2" s="1799"/>
      <c r="H2" s="1800"/>
      <c r="I2" s="1164"/>
      <c r="J2" s="1164"/>
      <c r="K2" s="1211"/>
      <c r="L2" s="1211"/>
      <c r="N2" s="501" t="s">
        <v>1152</v>
      </c>
      <c r="O2" s="484">
        <f>SUMPRODUCT((N6:N12=B20)*(O5:Q5=B21)*(O6:Q12))</f>
        <v>60</v>
      </c>
    </row>
    <row r="3" spans="1:18" ht="15.75" customHeight="1">
      <c r="A3" s="1178" t="s">
        <v>1774</v>
      </c>
      <c r="B3" s="1564">
        <v>39948</v>
      </c>
      <c r="C3" s="1163"/>
      <c r="D3" s="1165" t="s">
        <v>1219</v>
      </c>
      <c r="E3" s="1166" t="s">
        <v>1220</v>
      </c>
      <c r="F3" s="1166" t="s">
        <v>1221</v>
      </c>
      <c r="G3" s="1166" t="s">
        <v>1288</v>
      </c>
      <c r="H3" s="1167" t="s">
        <v>1280</v>
      </c>
      <c r="I3" s="1168"/>
      <c r="J3" s="1169"/>
      <c r="K3" s="1211"/>
      <c r="L3" s="1211"/>
      <c r="N3" s="485" t="s">
        <v>1265</v>
      </c>
      <c r="O3" s="1393">
        <f>IF(B22="",O2,YEAR(B3)-B22)</f>
        <v>60</v>
      </c>
    </row>
    <row r="4" spans="1:18" ht="15.75" customHeight="1">
      <c r="A4" s="1190" t="s">
        <v>1775</v>
      </c>
      <c r="B4" s="1564">
        <f>B3</f>
        <v>39948</v>
      </c>
      <c r="C4" s="1163"/>
      <c r="D4" s="1170" t="s">
        <v>1275</v>
      </c>
      <c r="E4" s="1171" t="s">
        <v>1568</v>
      </c>
      <c r="F4" s="1172">
        <f ca="1">F5+F8+F9+F10</f>
        <v>10543</v>
      </c>
      <c r="G4" s="1173"/>
      <c r="H4" s="1174" t="s">
        <v>1222</v>
      </c>
      <c r="I4" s="1175"/>
      <c r="J4" s="1160"/>
      <c r="K4" s="1211"/>
      <c r="L4" s="1211"/>
      <c r="N4" s="485" t="s">
        <v>1264</v>
      </c>
      <c r="O4" s="502">
        <f>SUMIF(N6:N12,B20,R6:R12)</f>
        <v>0</v>
      </c>
      <c r="P4" s="1176"/>
      <c r="Q4" s="1176"/>
    </row>
    <row r="5" spans="1:18" ht="15.75" customHeight="1">
      <c r="A5" s="1565"/>
      <c r="B5" s="1162"/>
      <c r="C5" s="1163"/>
      <c r="D5" s="1177">
        <v>1</v>
      </c>
      <c r="E5" s="1178" t="s">
        <v>1569</v>
      </c>
      <c r="F5" s="1021">
        <f>IF(B4&lt;DATE(2002,12,10),F6,F6-F7)</f>
        <v>10543</v>
      </c>
      <c r="G5" s="1179"/>
      <c r="H5" s="1180" t="s">
        <v>1285</v>
      </c>
      <c r="I5" s="1175"/>
      <c r="J5" s="1160"/>
      <c r="K5" s="1211"/>
      <c r="L5" s="1211"/>
      <c r="N5" s="500" t="s">
        <v>1151</v>
      </c>
      <c r="O5" s="1181" t="s">
        <v>1146</v>
      </c>
      <c r="P5" s="1181" t="s">
        <v>1148</v>
      </c>
      <c r="Q5" s="1181" t="s">
        <v>1144</v>
      </c>
      <c r="R5" s="1181" t="s">
        <v>1259</v>
      </c>
    </row>
    <row r="6" spans="1:18" ht="15.75" customHeight="1">
      <c r="A6" s="1190" t="s">
        <v>1761</v>
      </c>
      <c r="B6" s="1566"/>
      <c r="C6" s="1163"/>
      <c r="D6" s="1182" t="s">
        <v>1267</v>
      </c>
      <c r="E6" s="1178" t="s">
        <v>1223</v>
      </c>
      <c r="F6" s="1021">
        <f>IF(B4&lt;DATE(2002,12,10),'1993基准地价'!B3,IF(B4&gt;=DATE(2014,8,28),'2014基准地价'!B3,'2002基准地价'!B3))</f>
        <v>10543</v>
      </c>
      <c r="G6" s="1179"/>
      <c r="H6" s="1183" t="str">
        <f>"采用"&amp;IF(B4&lt;DATE(2002,12,10),"1993版",IF(B4&gt;=DATE(2014,8,28),"2014版","2002版"))&amp;"基准地价系数修正法计算"</f>
        <v>采用2002版基准地价系数修正法计算</v>
      </c>
      <c r="I6" s="1533" t="s">
        <v>1563</v>
      </c>
      <c r="J6" s="1160"/>
      <c r="K6" s="1211"/>
      <c r="L6" s="1211"/>
      <c r="N6" s="500" t="s">
        <v>1153</v>
      </c>
      <c r="O6" s="1185">
        <v>70</v>
      </c>
      <c r="P6" s="1185">
        <v>50</v>
      </c>
      <c r="Q6" s="1185">
        <v>80</v>
      </c>
      <c r="R6" s="1186">
        <v>0</v>
      </c>
    </row>
    <row r="7" spans="1:18" ht="15.75" customHeight="1">
      <c r="A7" s="1190" t="s">
        <v>1762</v>
      </c>
      <c r="B7" s="1566">
        <v>70.400000000000006</v>
      </c>
      <c r="C7" s="1163"/>
      <c r="D7" s="1182" t="s">
        <v>1268</v>
      </c>
      <c r="E7" s="1178" t="s">
        <v>1224</v>
      </c>
      <c r="F7" s="1021">
        <f>IF(B4&lt;DATE(2002,12,10),'1993基准地价'!C14,IF(B4&gt;=DATE(2014,8,28),'2014基准地价'!B4,IF(H7="采用比较法计算",比较法!B3,IF(H7="扣毛地价",'2002基准地价'!B4,'2002基准地价'!B5))))</f>
        <v>0</v>
      </c>
      <c r="G7" s="1187"/>
      <c r="H7" s="1344"/>
      <c r="I7" s="1188" t="s">
        <v>1556</v>
      </c>
      <c r="J7" s="1160"/>
      <c r="K7" s="1211"/>
      <c r="L7" s="1211"/>
      <c r="N7" s="500" t="s">
        <v>1154</v>
      </c>
      <c r="O7" s="1185">
        <v>50</v>
      </c>
      <c r="P7" s="1185">
        <v>35</v>
      </c>
      <c r="Q7" s="1185">
        <v>60</v>
      </c>
      <c r="R7" s="1186">
        <v>0</v>
      </c>
    </row>
    <row r="8" spans="1:18" ht="15.75" customHeight="1">
      <c r="A8" s="1190" t="s">
        <v>1763</v>
      </c>
      <c r="B8" s="1567" t="e">
        <f>ROUND(B7/B6,2)</f>
        <v>#DIV/0!</v>
      </c>
      <c r="C8" s="1163"/>
      <c r="D8" s="1189">
        <v>2</v>
      </c>
      <c r="E8" s="1190" t="s">
        <v>1226</v>
      </c>
      <c r="F8" s="1191">
        <f>ROUND(F5*G8,0)</f>
        <v>0</v>
      </c>
      <c r="G8" s="646"/>
      <c r="H8" s="1192"/>
      <c r="I8" s="1175" t="s">
        <v>1284</v>
      </c>
      <c r="J8" s="1160"/>
      <c r="K8" s="1211"/>
      <c r="L8" s="1211"/>
      <c r="N8" s="500" t="s">
        <v>1155</v>
      </c>
      <c r="O8" s="1185">
        <v>40</v>
      </c>
      <c r="P8" s="1185">
        <v>30</v>
      </c>
      <c r="Q8" s="1185">
        <v>50</v>
      </c>
      <c r="R8" s="1186">
        <v>0.02</v>
      </c>
    </row>
    <row r="9" spans="1:18" ht="15.75" customHeight="1">
      <c r="A9" s="1190" t="s">
        <v>1764</v>
      </c>
      <c r="B9" s="1566">
        <v>2</v>
      </c>
      <c r="C9" s="1163"/>
      <c r="D9" s="1189">
        <v>3</v>
      </c>
      <c r="E9" s="1190" t="s">
        <v>1227</v>
      </c>
      <c r="F9" s="1191">
        <f ca="1">ROUND(F5*(POWER((1+G9),B24)-1)+F8*(POWER((1+G9),B24/2)-1),0)</f>
        <v>0</v>
      </c>
      <c r="G9" s="1193">
        <f ca="1">存贷款利率!G2</f>
        <v>0.03</v>
      </c>
      <c r="H9" s="1194" t="str">
        <f>"计息期为"&amp;B24&amp;"年，"&amp;"复利计息"</f>
        <v>计息期为年，复利计息</v>
      </c>
      <c r="I9" s="1195"/>
      <c r="J9" s="1196"/>
      <c r="K9" s="1211"/>
      <c r="L9" s="1211"/>
      <c r="N9" s="500" t="s">
        <v>1260</v>
      </c>
      <c r="O9" s="1185">
        <v>30</v>
      </c>
      <c r="P9" s="1185">
        <v>20</v>
      </c>
      <c r="Q9" s="1185">
        <v>40</v>
      </c>
      <c r="R9" s="1186">
        <v>0.06</v>
      </c>
    </row>
    <row r="10" spans="1:18" ht="15.75" customHeight="1" thickBot="1">
      <c r="A10" s="1190" t="s">
        <v>1765</v>
      </c>
      <c r="B10" s="1568" t="s">
        <v>580</v>
      </c>
      <c r="C10" s="1163"/>
      <c r="D10" s="1197">
        <v>4</v>
      </c>
      <c r="E10" s="1198" t="s">
        <v>1228</v>
      </c>
      <c r="F10" s="1199">
        <f>ROUND((F5+F8)*G10,0)</f>
        <v>0</v>
      </c>
      <c r="G10" s="504"/>
      <c r="H10" s="1200" t="s">
        <v>1230</v>
      </c>
      <c r="I10" s="1201" t="s">
        <v>1229</v>
      </c>
      <c r="J10" s="1202"/>
      <c r="K10" s="1211"/>
      <c r="L10" s="1211"/>
      <c r="N10" s="500" t="s">
        <v>1261</v>
      </c>
      <c r="O10" s="1185">
        <v>30</v>
      </c>
      <c r="P10" s="1185">
        <v>20</v>
      </c>
      <c r="Q10" s="1185">
        <v>40</v>
      </c>
      <c r="R10" s="1186">
        <v>0.04</v>
      </c>
    </row>
    <row r="11" spans="1:18" ht="15.75" customHeight="1" thickTop="1">
      <c r="A11" s="1190" t="s">
        <v>1766</v>
      </c>
      <c r="B11" s="1569" t="s">
        <v>580</v>
      </c>
      <c r="C11" s="1163"/>
      <c r="D11" s="1203" t="s">
        <v>1281</v>
      </c>
      <c r="E11" s="1204" t="s">
        <v>1570</v>
      </c>
      <c r="F11" s="1172">
        <f ca="1">F12+F20+F21+F22</f>
        <v>0</v>
      </c>
      <c r="G11" s="1205"/>
      <c r="H11" s="1206" t="s">
        <v>1231</v>
      </c>
      <c r="I11" s="1175"/>
      <c r="J11" s="1160"/>
      <c r="K11" s="1211"/>
      <c r="L11" s="1211"/>
      <c r="N11" s="500" t="s">
        <v>1262</v>
      </c>
      <c r="O11" s="1185">
        <v>30</v>
      </c>
      <c r="P11" s="1185">
        <v>20</v>
      </c>
      <c r="Q11" s="1185">
        <v>40</v>
      </c>
      <c r="R11" s="1186">
        <v>0.03</v>
      </c>
    </row>
    <row r="12" spans="1:18" ht="15.75" customHeight="1">
      <c r="A12" s="1190" t="s">
        <v>1767</v>
      </c>
      <c r="B12" s="1570" t="s">
        <v>1791</v>
      </c>
      <c r="C12" s="1163"/>
      <c r="D12" s="1189">
        <v>1</v>
      </c>
      <c r="E12" s="1190" t="s">
        <v>1571</v>
      </c>
      <c r="F12" s="1191">
        <f>F13+F16+F17</f>
        <v>0</v>
      </c>
      <c r="G12" s="1207"/>
      <c r="H12" s="1208" t="s">
        <v>1286</v>
      </c>
      <c r="I12" s="1175"/>
      <c r="J12" s="1160"/>
      <c r="K12" s="1211"/>
      <c r="L12" s="1211"/>
      <c r="N12" s="500" t="s">
        <v>1263</v>
      </c>
      <c r="O12" s="1185">
        <v>10</v>
      </c>
      <c r="P12" s="1185">
        <v>10</v>
      </c>
      <c r="Q12" s="1185">
        <v>10</v>
      </c>
      <c r="R12" s="1186">
        <v>0</v>
      </c>
    </row>
    <row r="13" spans="1:18" ht="15.75" customHeight="1">
      <c r="A13" s="1190" t="s">
        <v>1768</v>
      </c>
      <c r="B13" s="1571">
        <v>70</v>
      </c>
      <c r="C13" s="1163"/>
      <c r="D13" s="1182" t="s">
        <v>1267</v>
      </c>
      <c r="E13" s="1190" t="s">
        <v>1232</v>
      </c>
      <c r="F13" s="1191">
        <f>F14+F15</f>
        <v>0</v>
      </c>
      <c r="G13" s="1207"/>
      <c r="H13" s="1208" t="s">
        <v>1287</v>
      </c>
      <c r="I13" s="1175"/>
      <c r="J13" s="1160"/>
      <c r="K13" s="1211"/>
      <c r="L13" s="1211"/>
    </row>
    <row r="14" spans="1:18" ht="15.75" customHeight="1">
      <c r="A14" s="1190" t="s">
        <v>1769</v>
      </c>
      <c r="B14" s="1572">
        <v>65746</v>
      </c>
      <c r="C14" s="1163"/>
      <c r="D14" s="1189" t="s">
        <v>1270</v>
      </c>
      <c r="E14" s="1190" t="s">
        <v>1233</v>
      </c>
      <c r="F14" s="505"/>
      <c r="G14" s="1209"/>
      <c r="H14" s="1183"/>
      <c r="I14" s="1175"/>
      <c r="J14" s="1160"/>
      <c r="K14" s="1211"/>
      <c r="L14" s="1211"/>
    </row>
    <row r="15" spans="1:18" ht="15.75" customHeight="1">
      <c r="A15" s="1190" t="s">
        <v>1770</v>
      </c>
      <c r="B15" s="1573">
        <f>IF(B14="",B13-(YEAR($B$4)-B22+B23+B24),ROUNDDOWN(MIN((B14-$B$4)/365,B13),2))</f>
        <v>70</v>
      </c>
      <c r="C15" s="1163"/>
      <c r="D15" s="1189" t="s">
        <v>1271</v>
      </c>
      <c r="E15" s="1190" t="s">
        <v>1234</v>
      </c>
      <c r="F15" s="505"/>
      <c r="G15" s="1209"/>
      <c r="H15" s="1183"/>
      <c r="I15" s="1175"/>
      <c r="J15" s="1160"/>
      <c r="K15" s="1211"/>
      <c r="L15" s="1211"/>
    </row>
    <row r="16" spans="1:18" ht="15.75" customHeight="1">
      <c r="A16" s="1190" t="s">
        <v>1771</v>
      </c>
      <c r="B16" s="1566"/>
      <c r="C16" s="1163"/>
      <c r="D16" s="1182" t="s">
        <v>1268</v>
      </c>
      <c r="E16" s="1190" t="s">
        <v>1235</v>
      </c>
      <c r="F16" s="1021">
        <f>ROUND(F13*G16,0)</f>
        <v>0</v>
      </c>
      <c r="G16" s="503"/>
      <c r="H16" s="1212" t="s">
        <v>1237</v>
      </c>
      <c r="I16" s="1195" t="s">
        <v>1236</v>
      </c>
      <c r="J16" s="1160"/>
      <c r="K16" s="1211"/>
      <c r="L16" s="1211"/>
    </row>
    <row r="17" spans="1:18" ht="15.75" customHeight="1">
      <c r="A17" s="1190" t="s">
        <v>1772</v>
      </c>
      <c r="B17" s="1574">
        <f>IF(B4&lt;DATE(2002,12,10),'1993基准地价'!C23,IF(B4&gt;=DATE(2014,8,28),'2014基准地价'!G20,'2002基准地价'!E10))</f>
        <v>0.04</v>
      </c>
      <c r="C17" s="1163"/>
      <c r="D17" s="1182" t="s">
        <v>1269</v>
      </c>
      <c r="E17" s="1190" t="s">
        <v>1238</v>
      </c>
      <c r="F17" s="1191">
        <f>F18+F19</f>
        <v>0</v>
      </c>
      <c r="G17" s="1207"/>
      <c r="H17" s="1208" t="s">
        <v>1287</v>
      </c>
      <c r="I17" s="1211"/>
      <c r="J17" s="1160"/>
      <c r="K17" s="1211"/>
      <c r="L17" s="1211"/>
    </row>
    <row r="18" spans="1:18" ht="15.75" customHeight="1">
      <c r="A18" s="1190" t="s">
        <v>1773</v>
      </c>
      <c r="B18" s="1575">
        <f>IF(ISERROR(ROUND(POWER(1+B17,B13-B15)*(POWER(1+B17,B15)-1)/(POWER(1+B17,B13)-1),3)),0,ROUND(POWER(1+B17,B13-B15)*(POWER(1+B17,B15)-1)/(POWER(1+B17,B13)-1),3))</f>
        <v>1</v>
      </c>
      <c r="C18" s="1163"/>
      <c r="D18" s="1189" t="s">
        <v>1272</v>
      </c>
      <c r="E18" s="1190" t="s">
        <v>1282</v>
      </c>
      <c r="F18" s="1021">
        <f>ROUND(IF(B12="住宅/居住",F13*G18,0),0)</f>
        <v>0</v>
      </c>
      <c r="G18" s="503"/>
      <c r="H18" s="1212" t="s">
        <v>1237</v>
      </c>
      <c r="I18" s="1195" t="s">
        <v>1239</v>
      </c>
      <c r="J18" s="1160" t="s">
        <v>1266</v>
      </c>
      <c r="K18" s="1211"/>
      <c r="L18" s="1211"/>
    </row>
    <row r="19" spans="1:18" ht="15.75" customHeight="1">
      <c r="A19" s="1576"/>
      <c r="B19" s="1211"/>
      <c r="C19" s="1163"/>
      <c r="D19" s="1189" t="s">
        <v>1273</v>
      </c>
      <c r="E19" s="1190" t="s">
        <v>1240</v>
      </c>
      <c r="F19" s="1021">
        <f>ROUND(F13*G19,0)</f>
        <v>0</v>
      </c>
      <c r="G19" s="503"/>
      <c r="H19" s="1212" t="s">
        <v>1237</v>
      </c>
      <c r="I19" s="1195" t="s">
        <v>1241</v>
      </c>
      <c r="J19" s="1160"/>
      <c r="K19" s="1211"/>
      <c r="L19" s="1211"/>
    </row>
    <row r="20" spans="1:18" ht="15.75" customHeight="1">
      <c r="A20" s="1190" t="s">
        <v>1776</v>
      </c>
      <c r="B20" s="1577" t="s">
        <v>1792</v>
      </c>
      <c r="C20" s="1163"/>
      <c r="D20" s="1189">
        <v>2</v>
      </c>
      <c r="E20" s="1190" t="s">
        <v>1226</v>
      </c>
      <c r="F20" s="1191">
        <f>ROUND(F12*G20,0)</f>
        <v>0</v>
      </c>
      <c r="G20" s="646"/>
      <c r="H20" s="1183"/>
      <c r="I20" s="1195" t="s">
        <v>1242</v>
      </c>
      <c r="J20" s="1160"/>
      <c r="K20" s="1211"/>
      <c r="L20" s="1211"/>
    </row>
    <row r="21" spans="1:18" ht="15.75" customHeight="1">
      <c r="A21" s="1190" t="s">
        <v>1777</v>
      </c>
      <c r="B21" s="1578" t="s">
        <v>1144</v>
      </c>
      <c r="C21" s="1163"/>
      <c r="D21" s="1379">
        <v>3</v>
      </c>
      <c r="E21" s="1380" t="s">
        <v>1572</v>
      </c>
      <c r="F21" s="1381">
        <f ca="1">ROUND((F12+F20)*(POWER((1+G21),B23/2)-1),0)</f>
        <v>0</v>
      </c>
      <c r="G21" s="1382">
        <f ca="1">存贷款利率!G1</f>
        <v>0</v>
      </c>
      <c r="H21" s="1194" t="str">
        <f>"计息期为"&amp;B23&amp;"年，"&amp;"复利计息"</f>
        <v>计息期为年，复利计息</v>
      </c>
      <c r="I21" s="1184"/>
      <c r="J21" s="1168"/>
      <c r="K21" s="1211"/>
      <c r="L21" s="1211"/>
    </row>
    <row r="22" spans="1:18" ht="15.75" customHeight="1" thickBot="1">
      <c r="A22" s="1190" t="s">
        <v>1778</v>
      </c>
      <c r="B22" s="1579"/>
      <c r="C22" s="1163"/>
      <c r="D22" s="1197">
        <v>4</v>
      </c>
      <c r="E22" s="1198" t="s">
        <v>1573</v>
      </c>
      <c r="F22" s="1199">
        <f>ROUND((F12+F20)*G22,0)</f>
        <v>0</v>
      </c>
      <c r="G22" s="504"/>
      <c r="H22" s="1200" t="s">
        <v>1230</v>
      </c>
      <c r="I22" s="1251" t="str">
        <f>IF(B12="商业","商业用途35%-50%",IF(B12="工业","工业用途18%-28%",IF(B12="办公/综合","办公用途25%-40%","居住用途30%-50%")))</f>
        <v>居住用途30%-50%</v>
      </c>
      <c r="J22" s="1160"/>
      <c r="K22" s="1211"/>
      <c r="L22" s="1211"/>
    </row>
    <row r="23" spans="1:18" ht="15.75" customHeight="1" thickTop="1">
      <c r="A23" s="1190" t="s">
        <v>1779</v>
      </c>
      <c r="B23" s="1580"/>
      <c r="C23" s="1211"/>
      <c r="D23" s="1203" t="s">
        <v>1574</v>
      </c>
      <c r="E23" s="1204" t="s">
        <v>1243</v>
      </c>
      <c r="F23" s="1172"/>
      <c r="G23" s="1213"/>
      <c r="H23" s="1214"/>
      <c r="I23" s="1215"/>
      <c r="J23" s="1160"/>
      <c r="K23" s="1211"/>
      <c r="L23" s="1211"/>
    </row>
    <row r="24" spans="1:18" ht="15.75" customHeight="1">
      <c r="A24" s="1190" t="s">
        <v>1780</v>
      </c>
      <c r="B24" s="1580"/>
      <c r="C24" s="1211"/>
      <c r="D24" s="1177">
        <v>1</v>
      </c>
      <c r="E24" s="1178" t="s">
        <v>1244</v>
      </c>
      <c r="F24" s="1021">
        <f ca="1">F4+F11</f>
        <v>10543</v>
      </c>
      <c r="G24" s="1216"/>
      <c r="H24" s="1192"/>
      <c r="I24" s="1215"/>
      <c r="J24" s="1160"/>
      <c r="K24" s="1211"/>
      <c r="L24" s="1211"/>
    </row>
    <row r="25" spans="1:18" ht="15.75" customHeight="1" thickBot="1">
      <c r="A25" s="1210"/>
      <c r="B25" s="1211"/>
      <c r="C25" s="1211"/>
      <c r="D25" s="1217">
        <v>2</v>
      </c>
      <c r="E25" s="1218" t="s">
        <v>1245</v>
      </c>
      <c r="F25" s="1219">
        <f ca="1">ROUND(F24*B7/10000,4)</f>
        <v>74.222700000000003</v>
      </c>
      <c r="G25" s="1220"/>
      <c r="H25" s="1221"/>
      <c r="I25" s="1215"/>
      <c r="J25" s="1160"/>
      <c r="K25" s="1211"/>
      <c r="L25" s="1211"/>
    </row>
    <row r="26" spans="1:18" ht="15.75" customHeight="1" thickBot="1">
      <c r="A26" s="1210"/>
      <c r="B26" s="1211"/>
      <c r="C26" s="1211"/>
      <c r="D26" s="1801" t="s">
        <v>1276</v>
      </c>
      <c r="E26" s="1802"/>
      <c r="F26" s="1802"/>
      <c r="G26" s="1802"/>
      <c r="H26" s="1803"/>
      <c r="I26" s="1175"/>
      <c r="J26" s="1164"/>
      <c r="K26" s="1211"/>
      <c r="L26" s="1211"/>
    </row>
    <row r="27" spans="1:18" ht="15.75" customHeight="1">
      <c r="A27" s="1210"/>
      <c r="B27" s="1211"/>
      <c r="C27" s="1211"/>
      <c r="D27" s="1222" t="s">
        <v>1219</v>
      </c>
      <c r="E27" s="1223" t="s">
        <v>1225</v>
      </c>
      <c r="F27" s="1166" t="s">
        <v>1246</v>
      </c>
      <c r="G27" s="1166" t="s">
        <v>1247</v>
      </c>
      <c r="H27" s="1224"/>
      <c r="I27" s="1249"/>
      <c r="J27" s="1168"/>
      <c r="K27" s="1211"/>
      <c r="L27" s="1211"/>
    </row>
    <row r="28" spans="1:18" ht="15.75" customHeight="1" thickBot="1">
      <c r="A28" s="1210"/>
      <c r="B28" s="1211"/>
      <c r="C28" s="1211"/>
      <c r="D28" s="1225" t="s">
        <v>1275</v>
      </c>
      <c r="E28" s="1226" t="s">
        <v>1248</v>
      </c>
      <c r="F28" s="1227">
        <f>ROUND(IF(AND(B12&lt;&gt;"住宅/居住",B13&lt;O2),1-(1-O4)*O3/B13,1-(1-O4)*O3/O2),2)</f>
        <v>0</v>
      </c>
      <c r="G28" s="506"/>
      <c r="H28" s="1228"/>
      <c r="I28" s="1175" t="s">
        <v>1249</v>
      </c>
      <c r="J28" s="1160"/>
      <c r="K28" s="1211"/>
      <c r="L28" s="1211"/>
    </row>
    <row r="29" spans="1:18" ht="15.75" customHeight="1">
      <c r="A29" s="1210"/>
      <c r="B29" s="1211"/>
      <c r="C29" s="1211"/>
      <c r="D29" s="1225" t="s">
        <v>1277</v>
      </c>
      <c r="E29" s="1226" t="s">
        <v>1250</v>
      </c>
      <c r="F29" s="1227">
        <f>ROUND((F30*G30+F31*G31+F32*G32)/100,2)</f>
        <v>0</v>
      </c>
      <c r="G29" s="1227">
        <f>1-G28</f>
        <v>1</v>
      </c>
      <c r="H29" s="1183"/>
      <c r="I29" s="1175"/>
      <c r="J29" s="1160"/>
      <c r="K29" s="1211"/>
      <c r="L29" s="1211"/>
      <c r="N29" s="1399"/>
      <c r="O29" s="1400" t="s">
        <v>1578</v>
      </c>
      <c r="P29" s="1400" t="s">
        <v>1579</v>
      </c>
      <c r="Q29" s="1400" t="s">
        <v>1580</v>
      </c>
      <c r="R29" s="1401" t="s">
        <v>1581</v>
      </c>
    </row>
    <row r="30" spans="1:18" ht="15.75" customHeight="1">
      <c r="A30" s="1210"/>
      <c r="B30" s="1211"/>
      <c r="C30" s="1211"/>
      <c r="D30" s="1225">
        <v>1</v>
      </c>
      <c r="E30" s="1229" t="s">
        <v>1251</v>
      </c>
      <c r="F30" s="507"/>
      <c r="G30" s="1227">
        <f>IF(ISNUMBER(FIND("砖木",B20)),O30,SUMPRODUCT((N30:N32=E30)*(O29:R29=B20)*(O30:R32)))</f>
        <v>0.2</v>
      </c>
      <c r="H30" s="1228"/>
      <c r="I30" s="1793" t="s">
        <v>1582</v>
      </c>
      <c r="J30" s="1394"/>
      <c r="K30" s="1211"/>
      <c r="L30" s="1211"/>
      <c r="N30" s="1402" t="s">
        <v>1575</v>
      </c>
      <c r="O30" s="1403">
        <v>0.2</v>
      </c>
      <c r="P30" s="1403">
        <v>0.2</v>
      </c>
      <c r="Q30" s="1403">
        <v>0.2</v>
      </c>
      <c r="R30" s="1404">
        <v>0.25</v>
      </c>
    </row>
    <row r="31" spans="1:18" ht="15.75" customHeight="1">
      <c r="A31" s="1210"/>
      <c r="B31" s="1211"/>
      <c r="C31" s="1211"/>
      <c r="D31" s="1225">
        <v>2</v>
      </c>
      <c r="E31" s="1229" t="s">
        <v>1252</v>
      </c>
      <c r="F31" s="1230">
        <f>F30</f>
        <v>0</v>
      </c>
      <c r="G31" s="1227">
        <f>IF(ISNUMBER(FIND("砖木",B20)),O31,SUMPRODUCT((N30:N32=E31)*(O29:R29=B20)*(O30:R32)))</f>
        <v>0.5</v>
      </c>
      <c r="H31" s="1228"/>
      <c r="I31" s="1793"/>
      <c r="J31" s="1394"/>
      <c r="K31" s="1211"/>
      <c r="L31" s="1211"/>
      <c r="N31" s="1402" t="s">
        <v>1576</v>
      </c>
      <c r="O31" s="1403">
        <v>0.55000000000000004</v>
      </c>
      <c r="P31" s="1403">
        <v>0.45</v>
      </c>
      <c r="Q31" s="1403">
        <v>0.5</v>
      </c>
      <c r="R31" s="1404">
        <v>0.55000000000000004</v>
      </c>
    </row>
    <row r="32" spans="1:18" ht="15.75" customHeight="1">
      <c r="A32" s="1210"/>
      <c r="B32" s="1211"/>
      <c r="C32" s="1211"/>
      <c r="D32" s="1225">
        <v>3</v>
      </c>
      <c r="E32" s="1229" t="s">
        <v>1253</v>
      </c>
      <c r="F32" s="1230">
        <f>F31</f>
        <v>0</v>
      </c>
      <c r="G32" s="1227">
        <f>IF(ISNUMBER(FIND("砖木",B20)),O32,SUMPRODUCT((N30:N32=E32)*(O29:R29=B20)*(O30:R32)))</f>
        <v>0.3</v>
      </c>
      <c r="H32" s="1228"/>
      <c r="I32" s="1793"/>
      <c r="J32" s="1394"/>
      <c r="K32" s="1211"/>
      <c r="L32" s="1211"/>
      <c r="N32" s="1402" t="s">
        <v>1577</v>
      </c>
      <c r="O32" s="1403">
        <v>0.25</v>
      </c>
      <c r="P32" s="1403">
        <v>0.35</v>
      </c>
      <c r="Q32" s="1403">
        <v>0.3</v>
      </c>
      <c r="R32" s="1404">
        <v>0.2</v>
      </c>
    </row>
    <row r="33" spans="1:18" ht="15.75" customHeight="1" thickBot="1">
      <c r="A33" s="1210"/>
      <c r="B33" s="1211"/>
      <c r="C33" s="1211"/>
      <c r="D33" s="1231" t="s">
        <v>1278</v>
      </c>
      <c r="E33" s="1232" t="s">
        <v>1254</v>
      </c>
      <c r="F33" s="1233">
        <f>ROUND(F28*G28+F29*G29,2)</f>
        <v>0</v>
      </c>
      <c r="G33" s="1220"/>
      <c r="H33" s="1221"/>
      <c r="I33" s="1250"/>
      <c r="J33" s="1160"/>
      <c r="K33" s="1211"/>
      <c r="L33" s="1211"/>
      <c r="N33" s="1405"/>
      <c r="O33" s="1483">
        <f>SUM(O30:O32)</f>
        <v>1</v>
      </c>
      <c r="P33" s="1483">
        <f t="shared" ref="P33:R33" si="0">SUM(P30:P32)</f>
        <v>1</v>
      </c>
      <c r="Q33" s="1483">
        <f t="shared" si="0"/>
        <v>1</v>
      </c>
      <c r="R33" s="1484">
        <f t="shared" si="0"/>
        <v>1</v>
      </c>
    </row>
    <row r="34" spans="1:18" ht="15.75" customHeight="1" thickBot="1">
      <c r="A34" s="1210"/>
      <c r="B34" s="1211"/>
      <c r="C34" s="1211"/>
      <c r="D34" s="1801" t="s">
        <v>1279</v>
      </c>
      <c r="E34" s="1802"/>
      <c r="F34" s="1802"/>
      <c r="G34" s="1802"/>
      <c r="H34" s="1803"/>
      <c r="I34" s="1164"/>
      <c r="J34" s="1164"/>
      <c r="K34" s="1211"/>
      <c r="L34" s="1211"/>
    </row>
    <row r="35" spans="1:18" ht="15.75" customHeight="1">
      <c r="A35" s="1210"/>
      <c r="B35" s="1211"/>
      <c r="C35" s="1211"/>
      <c r="D35" s="1177" t="s">
        <v>1275</v>
      </c>
      <c r="E35" s="1234" t="s">
        <v>1255</v>
      </c>
      <c r="F35" s="1235">
        <f ca="1">ROUND(F24*F33,0)</f>
        <v>0</v>
      </c>
      <c r="G35" s="1794" t="s">
        <v>1256</v>
      </c>
      <c r="H35" s="1795"/>
      <c r="I35" s="1169"/>
      <c r="J35" s="1169"/>
      <c r="K35" s="1211"/>
      <c r="L35" s="1211"/>
    </row>
    <row r="36" spans="1:18" ht="15.75" customHeight="1" thickBot="1">
      <c r="A36" s="1210"/>
      <c r="B36" s="1211"/>
      <c r="C36" s="1211"/>
      <c r="D36" s="1217" t="s">
        <v>1277</v>
      </c>
      <c r="E36" s="1218" t="s">
        <v>1257</v>
      </c>
      <c r="F36" s="1236">
        <f ca="1">ROUND(F25*F33,4)</f>
        <v>0</v>
      </c>
      <c r="G36" s="1796" t="s">
        <v>1258</v>
      </c>
      <c r="H36" s="1797"/>
      <c r="I36" s="1169"/>
      <c r="J36" s="1169"/>
      <c r="K36" s="1211"/>
      <c r="L36" s="1211"/>
    </row>
    <row r="37" spans="1:18" ht="15.75" customHeight="1">
      <c r="A37" s="1210"/>
      <c r="B37" s="1211"/>
    </row>
    <row r="38" spans="1:18" ht="15.75" customHeight="1">
      <c r="A38" s="1210"/>
      <c r="B38" s="1211"/>
    </row>
    <row r="39" spans="1:18" ht="15.75" customHeight="1">
      <c r="A39" s="1210"/>
      <c r="B39" s="1211"/>
    </row>
    <row r="43" spans="1:18" ht="15.75" customHeight="1">
      <c r="N43" s="1239"/>
      <c r="O43" s="1239"/>
    </row>
    <row r="44" spans="1:18" ht="15.75" customHeight="1">
      <c r="N44" s="1239"/>
      <c r="O44" s="1239"/>
    </row>
    <row r="45" spans="1:18" ht="15.75" customHeight="1">
      <c r="N45" s="1239"/>
      <c r="O45" s="1239"/>
    </row>
    <row r="46" spans="1:18" ht="15.75" customHeight="1">
      <c r="N46" s="1239"/>
      <c r="O46" s="1239"/>
    </row>
    <row r="51" spans="1:13" ht="15.75" customHeight="1">
      <c r="G51" s="1244" t="s">
        <v>1203</v>
      </c>
    </row>
    <row r="52" spans="1:13" ht="15.75" customHeight="1">
      <c r="C52" s="1241" t="s">
        <v>1202</v>
      </c>
      <c r="D52" s="1241"/>
      <c r="E52" s="1241"/>
      <c r="F52" s="1241"/>
      <c r="G52" s="1245" t="s">
        <v>1207</v>
      </c>
      <c r="I52" s="1246"/>
      <c r="J52" s="1246"/>
      <c r="K52" s="1239"/>
      <c r="L52" s="1239"/>
      <c r="M52" s="1239"/>
    </row>
    <row r="53" spans="1:13" ht="15.75" customHeight="1">
      <c r="A53" s="1240" t="s">
        <v>1200</v>
      </c>
      <c r="B53" s="1241" t="s">
        <v>1201</v>
      </c>
      <c r="C53" s="1243" t="s">
        <v>1206</v>
      </c>
      <c r="D53" s="1243"/>
      <c r="E53" s="1243"/>
      <c r="F53" s="1243"/>
      <c r="G53" s="1245" t="s">
        <v>1211</v>
      </c>
      <c r="I53" s="1246"/>
      <c r="J53" s="1246"/>
      <c r="K53" s="1239"/>
      <c r="L53" s="1239"/>
      <c r="M53" s="1239"/>
    </row>
    <row r="54" spans="1:13" ht="15.75" customHeight="1">
      <c r="A54" s="1242" t="s">
        <v>1204</v>
      </c>
      <c r="B54" s="1243" t="s">
        <v>1205</v>
      </c>
      <c r="C54" s="1243" t="s">
        <v>1210</v>
      </c>
      <c r="D54" s="1243"/>
      <c r="E54" s="1243"/>
      <c r="F54" s="1243"/>
      <c r="G54" s="1245" t="s">
        <v>1215</v>
      </c>
      <c r="I54" s="1246"/>
      <c r="J54" s="1246"/>
      <c r="K54" s="1239"/>
      <c r="L54" s="1239"/>
      <c r="M54" s="1239"/>
    </row>
    <row r="55" spans="1:13" ht="15.75" customHeight="1">
      <c r="A55" s="1242" t="s">
        <v>1208</v>
      </c>
      <c r="B55" s="1243" t="s">
        <v>1209</v>
      </c>
      <c r="C55" s="1243" t="s">
        <v>1214</v>
      </c>
      <c r="D55" s="1243"/>
      <c r="E55" s="1243"/>
      <c r="F55" s="1243"/>
      <c r="G55" s="1245" t="s">
        <v>1217</v>
      </c>
      <c r="I55" s="1246"/>
      <c r="J55" s="1246"/>
      <c r="K55" s="1239"/>
      <c r="L55" s="1239"/>
      <c r="M55" s="1239"/>
    </row>
    <row r="56" spans="1:13" ht="15.75" customHeight="1">
      <c r="A56" s="1242" t="s">
        <v>1212</v>
      </c>
      <c r="B56" s="1243" t="s">
        <v>1213</v>
      </c>
    </row>
    <row r="57" spans="1:13" ht="15.75" customHeight="1">
      <c r="A57" s="1247"/>
      <c r="B57" s="1248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opLeftCell="A10" zoomScale="80" zoomScaleNormal="80" zoomScaleSheetLayoutView="89" workbookViewId="0">
      <selection activeCell="I20" sqref="I20"/>
    </sheetView>
  </sheetViews>
  <sheetFormatPr defaultColWidth="9" defaultRowHeight="12"/>
  <cols>
    <col min="1" max="1" width="9.77734375" style="710" customWidth="1"/>
    <col min="2" max="2" width="19.21875" style="778" customWidth="1"/>
    <col min="3" max="4" width="12" style="709" customWidth="1"/>
    <col min="5" max="5" width="14.6640625" style="709" customWidth="1"/>
    <col min="6" max="7" width="12" style="709" customWidth="1"/>
    <col min="8" max="8" width="15" style="709" customWidth="1"/>
    <col min="9" max="9" width="12.777343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666" t="s">
        <v>1467</v>
      </c>
      <c r="B1" s="809"/>
      <c r="C1" s="707" t="s">
        <v>1177</v>
      </c>
      <c r="D1" s="509">
        <f>主表!B7</f>
        <v>70.400000000000006</v>
      </c>
      <c r="E1" s="706" t="s">
        <v>1554</v>
      </c>
      <c r="F1" s="1310" t="s">
        <v>1793</v>
      </c>
      <c r="G1" s="1485"/>
      <c r="H1" s="706"/>
      <c r="I1" s="706"/>
      <c r="J1" s="706"/>
      <c r="L1" s="810" t="s">
        <v>342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909</v>
      </c>
      <c r="B2" s="32">
        <f ca="1">C26</f>
        <v>0</v>
      </c>
      <c r="C2" s="667" t="s">
        <v>980</v>
      </c>
      <c r="D2" s="714" t="s">
        <v>983</v>
      </c>
      <c r="E2" s="715" t="str">
        <f>主表!B12</f>
        <v>住宅/居住</v>
      </c>
      <c r="F2" s="714" t="s">
        <v>910</v>
      </c>
      <c r="G2" s="716" t="str">
        <f>主表!B10</f>
        <v>三级</v>
      </c>
      <c r="H2" s="811" t="s">
        <v>911</v>
      </c>
      <c r="I2" s="665" t="str">
        <f>主表!B11</f>
        <v>三级</v>
      </c>
      <c r="J2" s="717"/>
      <c r="L2" s="812" t="s">
        <v>402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912</v>
      </c>
      <c r="B3" s="32">
        <f ca="1">IF(F1="地上",C29,SUMIF(B33:B39,G1,C33:C39))</f>
        <v>0</v>
      </c>
      <c r="C3" s="667" t="s">
        <v>913</v>
      </c>
      <c r="D3" s="714" t="s">
        <v>252</v>
      </c>
      <c r="E3" s="718" t="s">
        <v>1794</v>
      </c>
      <c r="F3" s="1458" t="s">
        <v>1795</v>
      </c>
      <c r="G3" s="238">
        <f>IF(F3="容积率",主表!B8,主表!B9)</f>
        <v>2</v>
      </c>
      <c r="H3" s="814" t="s">
        <v>253</v>
      </c>
      <c r="I3" s="398">
        <v>1</v>
      </c>
      <c r="J3" s="717" t="s">
        <v>254</v>
      </c>
      <c r="L3" s="812" t="s">
        <v>580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5.6">
      <c r="A4" s="813" t="s">
        <v>1754</v>
      </c>
      <c r="B4" s="732">
        <f ca="1"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5"/>
      <c r="L4" s="812" t="s">
        <v>250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" thickBot="1">
      <c r="A5" s="815" t="s">
        <v>914</v>
      </c>
      <c r="B5" s="816" t="s">
        <v>915</v>
      </c>
      <c r="C5" s="367">
        <f>ROUND(IF(E2="商业",C6*C7+C16,(IF(E2="住宅/居住",C6*C12+C16,C6+C16))),0)</f>
        <v>0</v>
      </c>
      <c r="D5" s="1539">
        <f>ROUND(C6+C16,0)</f>
        <v>0</v>
      </c>
      <c r="E5" s="1539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662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915</v>
      </c>
      <c r="C6" s="370">
        <f>SUMIF(L1:L12,G2,M1:M12)</f>
        <v>0</v>
      </c>
      <c r="D6" s="822" t="s">
        <v>1468</v>
      </c>
      <c r="E6" s="823"/>
      <c r="F6" s="823"/>
      <c r="G6" s="824"/>
      <c r="H6" s="824"/>
      <c r="I6" s="824"/>
      <c r="J6" s="825"/>
      <c r="K6" s="735"/>
      <c r="L6" s="812" t="s">
        <v>33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04" t="str">
        <f>IF(E2="商业",IF(C8="不临58条商业街","",2),"")</f>
        <v/>
      </c>
      <c r="B7" s="826" t="s">
        <v>916</v>
      </c>
      <c r="C7" s="371" t="e">
        <f>IF(C8="不临58条商业街",1,ROUND(1+(1.6*E8+1.2*E9+0.8*E10+0.4*E11)*C9,4))</f>
        <v>#DIV/0!</v>
      </c>
      <c r="D7" s="783" t="s">
        <v>917</v>
      </c>
      <c r="E7" s="399"/>
      <c r="F7" s="827"/>
      <c r="G7" s="828"/>
      <c r="H7" s="828"/>
      <c r="I7" s="828"/>
      <c r="J7" s="829"/>
      <c r="K7" s="735"/>
      <c r="L7" s="812" t="s">
        <v>665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4">
      <c r="A8" s="1805"/>
      <c r="B8" s="814" t="s">
        <v>918</v>
      </c>
      <c r="C8" s="933"/>
      <c r="D8" s="374" t="s">
        <v>255</v>
      </c>
      <c r="E8" s="375" t="e">
        <f>ROUND(C11/E7,4)</f>
        <v>#DIV/0!</v>
      </c>
      <c r="F8" s="945" t="s">
        <v>1484</v>
      </c>
      <c r="G8" s="831"/>
      <c r="H8" s="831"/>
      <c r="I8" s="831"/>
      <c r="J8" s="832"/>
      <c r="L8" s="812" t="s">
        <v>667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4">
      <c r="A9" s="1805"/>
      <c r="B9" s="814" t="s">
        <v>919</v>
      </c>
      <c r="C9" s="377">
        <f>SUMIF('2014修正'!C59:C119,C8,'2014修正'!E59:E119)</f>
        <v>0</v>
      </c>
      <c r="D9" s="26" t="s">
        <v>256</v>
      </c>
      <c r="E9" s="26" t="e">
        <f>ROUND(C11/E7,4)</f>
        <v>#DIV/0!</v>
      </c>
      <c r="F9" s="945" t="s">
        <v>1485</v>
      </c>
      <c r="G9" s="831"/>
      <c r="H9" s="831"/>
      <c r="I9" s="831"/>
      <c r="J9" s="832"/>
      <c r="L9" s="812" t="s">
        <v>669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4">
      <c r="A10" s="1805"/>
      <c r="B10" s="814" t="s">
        <v>920</v>
      </c>
      <c r="C10" s="26">
        <f>SUMIF('2014修正'!C59:C119,C8,'2014修正'!F59:F119)</f>
        <v>0</v>
      </c>
      <c r="D10" s="26" t="s">
        <v>257</v>
      </c>
      <c r="E10" s="26" t="e">
        <f>ROUND(C11/E7,4)</f>
        <v>#DIV/0!</v>
      </c>
      <c r="F10" s="945" t="s">
        <v>1486</v>
      </c>
      <c r="G10" s="831"/>
      <c r="H10" s="831"/>
      <c r="I10" s="831"/>
      <c r="J10" s="832"/>
      <c r="L10" s="812" t="s">
        <v>673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05"/>
      <c r="B11" s="833" t="s">
        <v>921</v>
      </c>
      <c r="C11" s="378">
        <f>C10/4</f>
        <v>0</v>
      </c>
      <c r="D11" s="378" t="s">
        <v>258</v>
      </c>
      <c r="E11" s="378" t="e">
        <f>ROUND(C11/E7,4)</f>
        <v>#DIV/0!</v>
      </c>
      <c r="F11" s="946" t="s">
        <v>1487</v>
      </c>
      <c r="G11" s="834"/>
      <c r="H11" s="834"/>
      <c r="I11" s="834"/>
      <c r="J11" s="835"/>
      <c r="L11" s="812" t="s">
        <v>981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6" thickBot="1">
      <c r="A12" s="1804">
        <f>IF(E2="住宅/居住",2,"")</f>
        <v>2</v>
      </c>
      <c r="B12" s="836" t="s">
        <v>922</v>
      </c>
      <c r="C12" s="371">
        <f>ROUND(C15*D15*E15*F15*G15*H15*I15*J15,4)</f>
        <v>1.2</v>
      </c>
      <c r="D12" s="837" t="s">
        <v>923</v>
      </c>
      <c r="E12" s="838"/>
      <c r="F12" s="838"/>
      <c r="G12" s="839"/>
      <c r="H12" s="839"/>
      <c r="I12" s="839"/>
      <c r="J12" s="840"/>
      <c r="L12" s="841" t="s">
        <v>982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06"/>
      <c r="B13" s="842" t="s">
        <v>1469</v>
      </c>
      <c r="C13" s="325" t="s">
        <v>1470</v>
      </c>
      <c r="D13" s="652" t="s">
        <v>1471</v>
      </c>
      <c r="E13" s="652" t="s">
        <v>1472</v>
      </c>
      <c r="F13" s="843" t="s">
        <v>259</v>
      </c>
      <c r="G13" s="844" t="s">
        <v>966</v>
      </c>
      <c r="H13" s="844" t="s">
        <v>966</v>
      </c>
      <c r="I13" s="844" t="s">
        <v>966</v>
      </c>
      <c r="J13" s="845" t="s">
        <v>966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06"/>
      <c r="B14" s="846"/>
      <c r="C14" s="847" t="s">
        <v>25</v>
      </c>
      <c r="D14" s="795" t="s">
        <v>25</v>
      </c>
      <c r="E14" s="795" t="s">
        <v>25</v>
      </c>
      <c r="F14" s="848" t="s">
        <v>260</v>
      </c>
      <c r="G14" s="849" t="s">
        <v>950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8" thickBot="1">
      <c r="A15" s="1807"/>
      <c r="B15" s="853" t="s">
        <v>1473</v>
      </c>
      <c r="C15" s="29">
        <f>IF(C14="有",1.1,1)</f>
        <v>1</v>
      </c>
      <c r="D15" s="29">
        <f>IF(D14="有",1.1,1)</f>
        <v>1</v>
      </c>
      <c r="E15" s="29">
        <f>IF(E14="有",1.1,1)</f>
        <v>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04">
        <f>IF(E2="办公/综合",2,IF(E2="工业",2,IF(E2="住宅/居住",3,IF(E2="商业",IF(C8="不临58条商业街",2,3)))))</f>
        <v>3</v>
      </c>
      <c r="B16" s="826" t="s">
        <v>924</v>
      </c>
      <c r="C16" s="1470">
        <f>ROUND(IF(F17="与级别开发程度一致",0,(G17-E17)/C17),0)</f>
        <v>0</v>
      </c>
      <c r="D16" s="1813" t="s">
        <v>927</v>
      </c>
      <c r="E16" s="1814"/>
      <c r="F16" s="1813" t="s">
        <v>925</v>
      </c>
      <c r="G16" s="1815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6" thickBot="1">
      <c r="A17" s="1808"/>
      <c r="B17" s="1555" t="s">
        <v>926</v>
      </c>
      <c r="C17" s="1556">
        <f>SUMPRODUCT(('2014修正'!A2:A5=E2)*('2014修正'!B1:M1=G2)*('2014修正'!B2:M5))</f>
        <v>2.5</v>
      </c>
      <c r="D17" s="1557" t="str">
        <f>IF(OR(G2="八级",G2="九级",G2="十级",G2="十一级",G2="十二级"),"五通一平","七通一平")</f>
        <v>七通一平</v>
      </c>
      <c r="E17" s="1560">
        <f>SUMPRODUCT(('2014修正'!B1:M1=G2)*('2014修正'!B15:M15))</f>
        <v>300</v>
      </c>
      <c r="F17" s="1561" t="s">
        <v>1796</v>
      </c>
      <c r="G17" s="1562">
        <f>SUM(H17:O17)</f>
        <v>0</v>
      </c>
      <c r="H17" s="1558">
        <f>SUMPRODUCT((七通一平=H16)*('2014修正'!B1:M1=G2)*('2014修正'!B6:M14))</f>
        <v>0</v>
      </c>
      <c r="I17" s="1558">
        <f>SUMPRODUCT((七通一平=I16)*('2014修正'!B1:M1=G2)*('2014修正'!B6:M14))</f>
        <v>0</v>
      </c>
      <c r="J17" s="1559">
        <f>SUMPRODUCT((七通一平=J16)*('2014修正'!B1:M1=G2)*('2014修正'!B6:M14))</f>
        <v>0</v>
      </c>
      <c r="K17" s="1558">
        <f>SUMPRODUCT((七通一平=K16)*('2014修正'!B1:M1=G2)*('2014修正'!B6:M14))</f>
        <v>0</v>
      </c>
      <c r="L17" s="1558">
        <f>SUMPRODUCT((七通一平=L16)*('2014修正'!B1:M1=G2)*('2014修正'!B6:M14))</f>
        <v>0</v>
      </c>
      <c r="M17" s="1558">
        <f>SUMPRODUCT((七通一平=M16)*('2014修正'!B1:M1=G2)*('2014修正'!B6:M14))</f>
        <v>0</v>
      </c>
      <c r="N17" s="1558">
        <f>SUMPRODUCT((七通一平=N16)*('2014修正'!B1:M1=G2)*('2014修正'!B6:M14))</f>
        <v>0</v>
      </c>
      <c r="O17" s="1559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" thickBot="1">
      <c r="A18" s="1546" t="s">
        <v>928</v>
      </c>
      <c r="B18" s="1547" t="s">
        <v>929</v>
      </c>
      <c r="C18" s="1548">
        <f>SUMIF('2014修正'!C18:C39,E3,'2014修正'!E18:E39)</f>
        <v>1</v>
      </c>
      <c r="D18" s="1549"/>
      <c r="E18" s="1550"/>
      <c r="F18" s="1550"/>
      <c r="G18" s="1550"/>
      <c r="H18" s="1550"/>
      <c r="I18" s="1551"/>
      <c r="J18" s="1552"/>
      <c r="K18" s="765"/>
      <c r="L18" s="1553" t="s">
        <v>968</v>
      </c>
      <c r="M18" s="1554">
        <f>ROUNDDOWN(IF(H19&gt;=E19,DATEDIF(E19,H19,"M")/3,DATEDIF(H19,E19,"M")/3),0)</f>
        <v>18</v>
      </c>
      <c r="N18" s="656"/>
      <c r="O18" s="854" t="s">
        <v>943</v>
      </c>
      <c r="P18" s="830" t="s">
        <v>944</v>
      </c>
      <c r="Q18" s="830" t="s">
        <v>1301</v>
      </c>
      <c r="R18" s="830" t="s">
        <v>1300</v>
      </c>
      <c r="S18" s="855" t="s">
        <v>945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" thickBot="1">
      <c r="A19" s="859" t="s">
        <v>930</v>
      </c>
      <c r="B19" s="860" t="s">
        <v>931</v>
      </c>
      <c r="C19" s="1462">
        <f>IF(H19&lt;DATE(2014,8,28),0,ROUND(I19/F19,4))</f>
        <v>0</v>
      </c>
      <c r="D19" s="1465" t="s">
        <v>261</v>
      </c>
      <c r="E19" s="1504">
        <v>41640</v>
      </c>
      <c r="F19" s="1505">
        <f>ROUND(SUMIF(地价!B3:F3,E2,地价!B38:F38),0)</f>
        <v>423</v>
      </c>
      <c r="G19" s="1465" t="s">
        <v>262</v>
      </c>
      <c r="H19" s="1307">
        <f>主表!B4</f>
        <v>39948</v>
      </c>
      <c r="I19" s="1506">
        <f>ROUND(SUMPRODUCT((地价!A5:A38=YEAR(H19)&amp;"-"&amp;ROUNDUP(MONTH(H19)/3,0))*(地价!B3:F3=E2)*(地价!B5:F38)),0)</f>
        <v>0</v>
      </c>
      <c r="J19" s="1507"/>
      <c r="K19" s="765"/>
      <c r="L19" s="780" t="s">
        <v>263</v>
      </c>
      <c r="M19" s="781" t="s">
        <v>264</v>
      </c>
      <c r="N19" s="606" t="s">
        <v>1734</v>
      </c>
      <c r="O19" s="857" t="s">
        <v>947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6" thickBot="1">
      <c r="A20" s="861" t="s">
        <v>932</v>
      </c>
      <c r="B20" s="862" t="s">
        <v>933</v>
      </c>
      <c r="C20" s="1463">
        <f ca="1">ROUND(POWER(1+G20,J20-I20)*(POWER(1+G20,I20)-1)/(POWER(1+G20,J20)-1),4)</f>
        <v>1</v>
      </c>
      <c r="D20" s="1466" t="s">
        <v>934</v>
      </c>
      <c r="E20" s="1467">
        <f ca="1">INDIRECT("'存贷款利率'!e"&amp;存贷款利率!$K$4)/100</f>
        <v>5.3099999999999994E-2</v>
      </c>
      <c r="F20" s="1464" t="s">
        <v>935</v>
      </c>
      <c r="G20" s="1468">
        <f ca="1">SUMIF(P18:S18,E2,P20:S20)</f>
        <v>6.0999999999999999E-2</v>
      </c>
      <c r="H20" s="1469" t="s">
        <v>1633</v>
      </c>
      <c r="I20" s="1022">
        <f>IF(H20="剩余土地使用年限",主表!B15,主表!B16)</f>
        <v>70</v>
      </c>
      <c r="J20" s="387">
        <f>IF(E2="住宅/居住",70,IF(E2="商业",40,50))</f>
        <v>70</v>
      </c>
      <c r="K20" s="765"/>
      <c r="L20" s="784" t="s">
        <v>277</v>
      </c>
      <c r="M20" s="654"/>
      <c r="N20" s="28">
        <f ca="1">'地价（废）'!G2</f>
        <v>0</v>
      </c>
      <c r="O20" s="858" t="s">
        <v>935</v>
      </c>
      <c r="P20" s="608">
        <f ca="1">ROUND($E$20*(1+P19),3)</f>
        <v>6.6000000000000003E-2</v>
      </c>
      <c r="Q20" s="608">
        <f ca="1">ROUND($E$20*(1+Q19),3)</f>
        <v>6.4000000000000001E-2</v>
      </c>
      <c r="R20" s="608">
        <f ca="1">ROUND($E$20*(1+R19),3)</f>
        <v>6.0999999999999999E-2</v>
      </c>
      <c r="S20" s="935">
        <f ca="1">ROUND($E$20*(1+S19),3)</f>
        <v>5.8000000000000003E-2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4">
      <c r="A21" s="863" t="s">
        <v>936</v>
      </c>
      <c r="B21" s="864" t="s">
        <v>278</v>
      </c>
      <c r="C21" s="388">
        <f>IF(B21="容积率修正",IF(G3&lt;=10,D22,J22),C23)</f>
        <v>1.0601</v>
      </c>
      <c r="D21" s="865"/>
      <c r="E21" s="865" t="s">
        <v>1756</v>
      </c>
      <c r="F21" s="865"/>
      <c r="G21" s="865"/>
      <c r="H21" s="865"/>
      <c r="I21" s="865"/>
      <c r="J21" s="866"/>
      <c r="K21" s="765"/>
      <c r="L21" s="784" t="s">
        <v>279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4">
      <c r="A22" s="867">
        <v>1</v>
      </c>
      <c r="B22" s="868" t="s">
        <v>937</v>
      </c>
      <c r="C22" s="1459" t="s">
        <v>1480</v>
      </c>
      <c r="D22" s="1459">
        <f>IF(E22=G22,F22,IF(G3&lt;=10,ROUND(F22+(H22-F22)*(G3-E22)/(G22-E22),4),"——"))</f>
        <v>1.0601</v>
      </c>
      <c r="E22" s="1473">
        <f>ROUNDDOWN(G3,1)</f>
        <v>2</v>
      </c>
      <c r="F22" s="1474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1.0601</v>
      </c>
      <c r="G22" s="1472">
        <f>ROUNDUP(G3,1)</f>
        <v>2</v>
      </c>
      <c r="H22" s="1459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1.0601</v>
      </c>
      <c r="I22" s="1471" t="s">
        <v>280</v>
      </c>
      <c r="J22" s="389" t="str">
        <f>IF(G3&gt;10,D114,"——")</f>
        <v>——</v>
      </c>
      <c r="K22" s="765"/>
      <c r="L22" s="784" t="s">
        <v>1301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8.8">
      <c r="A23" s="867">
        <v>2</v>
      </c>
      <c r="B23" s="868" t="s">
        <v>938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1346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" thickBot="1">
      <c r="A24" s="875" t="s">
        <v>939</v>
      </c>
      <c r="B24" s="876" t="s">
        <v>940</v>
      </c>
      <c r="C24" s="390">
        <f>SUMIF(A46:A88,E2,B46:B88)</f>
        <v>1.0676000000000001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4.4">
      <c r="A25" s="861" t="s">
        <v>941</v>
      </c>
      <c r="B25" s="880" t="s">
        <v>942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4.4">
      <c r="A26" s="883"/>
      <c r="B26" s="868" t="s">
        <v>963</v>
      </c>
      <c r="C26" s="27">
        <f ca="1">E29+SUM(E33:E39)</f>
        <v>0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5" thickBot="1">
      <c r="A27" s="883"/>
      <c r="B27" s="887" t="s">
        <v>964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4.4">
      <c r="A28" s="861"/>
      <c r="B28" s="892" t="s">
        <v>962</v>
      </c>
      <c r="C28" s="893" t="s">
        <v>946</v>
      </c>
      <c r="D28" s="893" t="s">
        <v>954</v>
      </c>
      <c r="E28" s="894" t="s">
        <v>955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24">
      <c r="A29" s="896"/>
      <c r="B29" s="897" t="s">
        <v>958</v>
      </c>
      <c r="C29" s="27">
        <f ca="1">ROUND(C5*C18*C19*C20*C21*C24,0)</f>
        <v>0</v>
      </c>
      <c r="D29" s="607"/>
      <c r="E29" s="397">
        <f ca="1">ROUND(C29*D29,0)</f>
        <v>0</v>
      </c>
      <c r="F29" s="341" t="s">
        <v>1474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6" thickBot="1">
      <c r="A30" s="899"/>
      <c r="B30" s="900" t="s">
        <v>959</v>
      </c>
      <c r="C30" s="29">
        <f ca="1">ROUND(IF(E2="工业",C29*M39,C29*M38),0)</f>
        <v>0</v>
      </c>
      <c r="D30" s="609"/>
      <c r="E30" s="397">
        <f ca="1">ROUND(C30*D30,0)</f>
        <v>0</v>
      </c>
      <c r="F30" s="901" t="s">
        <v>956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4" t="s">
        <v>1750</v>
      </c>
      <c r="C31" s="905" t="s">
        <v>960</v>
      </c>
      <c r="D31" s="839"/>
      <c r="E31" s="905"/>
      <c r="F31" s="905"/>
      <c r="G31" s="837" t="s">
        <v>961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36">
      <c r="A32" s="896"/>
      <c r="B32" s="907"/>
      <c r="C32" s="908" t="s">
        <v>946</v>
      </c>
      <c r="D32" s="909" t="s">
        <v>954</v>
      </c>
      <c r="E32" s="909" t="s">
        <v>955</v>
      </c>
      <c r="F32" s="715" t="s">
        <v>949</v>
      </c>
      <c r="G32" s="869" t="s">
        <v>946</v>
      </c>
      <c r="H32" s="869" t="s">
        <v>954</v>
      </c>
      <c r="I32" s="869" t="s">
        <v>955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3.2">
      <c r="A33" s="1810" t="s">
        <v>1738</v>
      </c>
      <c r="B33" s="912" t="s">
        <v>281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3.2">
      <c r="A34" s="1811"/>
      <c r="B34" s="325" t="s">
        <v>282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3.2">
      <c r="A35" s="1811"/>
      <c r="B35" s="325" t="s">
        <v>283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8" thickBot="1">
      <c r="A36" s="1812"/>
      <c r="B36" s="325" t="s">
        <v>284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3.2">
      <c r="A37" s="911"/>
      <c r="B37" s="325" t="s">
        <v>285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957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3.2">
      <c r="A38" s="911"/>
      <c r="B38" s="325" t="s">
        <v>286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948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8" thickBot="1">
      <c r="A39" s="899"/>
      <c r="B39" s="918" t="s">
        <v>287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945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24">
      <c r="A41" s="712"/>
      <c r="B41" s="1541" t="s">
        <v>1751</v>
      </c>
      <c r="C41" s="1542">
        <f ca="1">ROUND(POWER(1+E41,H41-G41)*(POWER(1+E41,G41)-1)/(POWER(1+E41,H41)-1),4)</f>
        <v>0</v>
      </c>
      <c r="D41" s="26" t="s">
        <v>1748</v>
      </c>
      <c r="E41" s="1540">
        <f ca="1">G20</f>
        <v>6.0999999999999999E-2</v>
      </c>
      <c r="F41" s="26" t="s">
        <v>1749</v>
      </c>
      <c r="G41" s="1543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5" thickBot="1">
      <c r="A45" s="240" t="s">
        <v>890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4.4" hidden="1">
      <c r="A46" s="242" t="s">
        <v>279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891</v>
      </c>
      <c r="B47" s="248" t="s">
        <v>892</v>
      </c>
      <c r="C47" s="248" t="s">
        <v>893</v>
      </c>
      <c r="D47" s="248" t="s">
        <v>1454</v>
      </c>
      <c r="E47" s="793" t="s">
        <v>1455</v>
      </c>
      <c r="F47" s="922" t="s">
        <v>1140</v>
      </c>
      <c r="G47" s="248" t="s">
        <v>1476</v>
      </c>
      <c r="H47" s="923" t="s">
        <v>1156</v>
      </c>
      <c r="I47" s="248" t="s">
        <v>1475</v>
      </c>
      <c r="J47" s="794" t="s">
        <v>1456</v>
      </c>
      <c r="K47" s="794" t="s">
        <v>1457</v>
      </c>
      <c r="L47" s="794" t="s">
        <v>1458</v>
      </c>
      <c r="M47" s="794" t="s">
        <v>1459</v>
      </c>
      <c r="N47" s="794" t="s">
        <v>1460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48" hidden="1">
      <c r="A48" s="247" t="s">
        <v>894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60" hidden="1">
      <c r="A49" s="247" t="s">
        <v>895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896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48" hidden="1">
      <c r="A51" s="247" t="s">
        <v>897</v>
      </c>
      <c r="B51" s="1535" t="s">
        <v>1735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898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36" hidden="1">
      <c r="A53" s="247" t="s">
        <v>899</v>
      </c>
      <c r="B53" s="1536" t="s">
        <v>1736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900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901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6" hidden="1" thickBot="1">
      <c r="A56" s="258" t="s">
        <v>902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4.4" hidden="1">
      <c r="A57" s="242" t="s">
        <v>1301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891</v>
      </c>
      <c r="B58" s="254"/>
      <c r="C58" s="248" t="s">
        <v>893</v>
      </c>
      <c r="D58" s="248" t="s">
        <v>1454</v>
      </c>
      <c r="E58" s="793" t="s">
        <v>1461</v>
      </c>
      <c r="F58" s="922" t="s">
        <v>1140</v>
      </c>
      <c r="G58" s="248" t="s">
        <v>1477</v>
      </c>
      <c r="H58" s="923" t="s">
        <v>1157</v>
      </c>
      <c r="I58" s="248" t="s">
        <v>1475</v>
      </c>
      <c r="J58" s="794" t="s">
        <v>14</v>
      </c>
      <c r="K58" s="794" t="s">
        <v>13</v>
      </c>
      <c r="L58" s="794" t="s">
        <v>1462</v>
      </c>
      <c r="M58" s="794" t="s">
        <v>1463</v>
      </c>
      <c r="N58" s="794" t="s">
        <v>1464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48" hidden="1">
      <c r="A59" s="247" t="s">
        <v>903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60" hidden="1">
      <c r="A60" s="247" t="s">
        <v>895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896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48" hidden="1">
      <c r="A62" s="247" t="s">
        <v>897</v>
      </c>
      <c r="B62" s="1535" t="s">
        <v>1735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898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36" hidden="1">
      <c r="A64" s="247" t="s">
        <v>899</v>
      </c>
      <c r="B64" s="1536" t="s">
        <v>1736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900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901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6" hidden="1" thickBot="1">
      <c r="A67" s="258" t="s">
        <v>902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4.4">
      <c r="A68" s="242" t="s">
        <v>1302</v>
      </c>
      <c r="B68" s="487">
        <f>1+E70</f>
        <v>1.0676000000000001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891</v>
      </c>
      <c r="B69" s="254"/>
      <c r="C69" s="248" t="s">
        <v>893</v>
      </c>
      <c r="D69" s="248" t="s">
        <v>1454</v>
      </c>
      <c r="E69" s="793" t="s">
        <v>1461</v>
      </c>
      <c r="F69" s="922" t="s">
        <v>1140</v>
      </c>
      <c r="G69" s="248" t="s">
        <v>1477</v>
      </c>
      <c r="H69" s="923" t="s">
        <v>1157</v>
      </c>
      <c r="I69" s="248" t="s">
        <v>1475</v>
      </c>
      <c r="J69" s="794" t="s">
        <v>14</v>
      </c>
      <c r="K69" s="794" t="s">
        <v>13</v>
      </c>
      <c r="L69" s="794" t="s">
        <v>1462</v>
      </c>
      <c r="M69" s="794" t="s">
        <v>1463</v>
      </c>
      <c r="N69" s="794" t="s">
        <v>1464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60">
      <c r="A70" s="247" t="s">
        <v>904</v>
      </c>
      <c r="B70" s="251" t="str">
        <f>估价对象房地状况!C3</f>
        <v>估价对象周边居住用地比例、居住小区规模和社区发展完善程度，综合评价居住社区成熟度一般</v>
      </c>
      <c r="C70" s="795" t="s">
        <v>1797</v>
      </c>
      <c r="D70" s="490">
        <f t="shared" ref="D70:D78" si="14">SUMIF($J$69:$N$69,C70,J70:N70)</f>
        <v>6.8600000000000006E-3</v>
      </c>
      <c r="E70" s="253">
        <f>ROUND(SUM(D70:D78),4)</f>
        <v>6.7599999999999993E-2</v>
      </c>
      <c r="F70" s="937">
        <f>IF(E2="住宅/居住",SUMIF(L1:L12,G2,N1:N12),"——")</f>
        <v>0</v>
      </c>
      <c r="G70" s="491">
        <v>6.8600000000000006E-3</v>
      </c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1.3720000000000001E-2</v>
      </c>
      <c r="K70" s="492">
        <f t="shared" ref="K70:K78" si="17">$L70+$G70</f>
        <v>6.8600000000000006E-3</v>
      </c>
      <c r="L70" s="492">
        <v>0</v>
      </c>
      <c r="M70" s="492">
        <f t="shared" ref="M70:N78" si="18">L70-$G70</f>
        <v>-6.8600000000000006E-3</v>
      </c>
      <c r="N70" s="492">
        <f t="shared" si="18"/>
        <v>-1.3720000000000001E-2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60">
      <c r="A71" s="247" t="s">
        <v>895</v>
      </c>
      <c r="B71" s="254" t="str">
        <f>估价对象房地状况!C6</f>
        <v>估价对象周边道路状况、公共交通通达情况、停车便捷程度，综合评价交通便捷度较好</v>
      </c>
      <c r="C71" s="795" t="s">
        <v>1798</v>
      </c>
      <c r="D71" s="490">
        <f t="shared" si="14"/>
        <v>2.9399999999999999E-2</v>
      </c>
      <c r="E71" s="263"/>
      <c r="F71" s="938"/>
      <c r="G71" s="491">
        <v>1.47E-2</v>
      </c>
      <c r="H71" s="494">
        <f t="shared" si="15"/>
        <v>0</v>
      </c>
      <c r="I71" s="252">
        <v>0.3</v>
      </c>
      <c r="J71" s="492">
        <f t="shared" si="16"/>
        <v>2.9399999999999999E-2</v>
      </c>
      <c r="K71" s="492">
        <f t="shared" si="17"/>
        <v>1.47E-2</v>
      </c>
      <c r="L71" s="492">
        <v>0</v>
      </c>
      <c r="M71" s="492">
        <f t="shared" si="18"/>
        <v>-1.47E-2</v>
      </c>
      <c r="N71" s="492">
        <f t="shared" si="18"/>
        <v>-2.9399999999999999E-2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896</v>
      </c>
      <c r="B72" s="254" t="str">
        <f>估价对象房地状况!C7</f>
        <v>零星有其他用地，基本不影响本宗地</v>
      </c>
      <c r="C72" s="795" t="s">
        <v>1797</v>
      </c>
      <c r="D72" s="490">
        <f t="shared" si="14"/>
        <v>3.9199999999999999E-3</v>
      </c>
      <c r="E72" s="263"/>
      <c r="F72" s="938"/>
      <c r="G72" s="491">
        <v>3.9199999999999999E-3</v>
      </c>
      <c r="H72" s="494">
        <f t="shared" si="15"/>
        <v>0</v>
      </c>
      <c r="I72" s="252">
        <v>0.08</v>
      </c>
      <c r="J72" s="492">
        <f t="shared" si="16"/>
        <v>7.8399999999999997E-3</v>
      </c>
      <c r="K72" s="492">
        <f t="shared" si="17"/>
        <v>3.9199999999999999E-3</v>
      </c>
      <c r="L72" s="492">
        <v>0</v>
      </c>
      <c r="M72" s="492">
        <f t="shared" si="18"/>
        <v>-3.9199999999999999E-3</v>
      </c>
      <c r="N72" s="492">
        <f t="shared" si="18"/>
        <v>-7.8399999999999997E-3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3.8">
      <c r="A73" s="247" t="s">
        <v>905</v>
      </c>
      <c r="B73" s="254">
        <f>估价对象房地状况!C12</f>
        <v>0</v>
      </c>
      <c r="C73" s="795" t="s">
        <v>15</v>
      </c>
      <c r="D73" s="490">
        <f t="shared" si="14"/>
        <v>0</v>
      </c>
      <c r="E73" s="263"/>
      <c r="F73" s="938"/>
      <c r="G73" s="491">
        <v>1.9599999999999999E-3</v>
      </c>
      <c r="H73" s="494">
        <f t="shared" si="15"/>
        <v>0</v>
      </c>
      <c r="I73" s="252">
        <v>0.04</v>
      </c>
      <c r="J73" s="492">
        <f t="shared" si="16"/>
        <v>3.9199999999999999E-3</v>
      </c>
      <c r="K73" s="492">
        <f t="shared" si="17"/>
        <v>1.9599999999999999E-3</v>
      </c>
      <c r="L73" s="492">
        <v>0</v>
      </c>
      <c r="M73" s="492">
        <f t="shared" si="18"/>
        <v>-1.9599999999999999E-3</v>
      </c>
      <c r="N73" s="492">
        <f t="shared" si="18"/>
        <v>-3.9199999999999999E-3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900</v>
      </c>
      <c r="B74" s="486" t="str">
        <f>估价对象房地状况!C9</f>
        <v>估价对象所在区域公共配套设施齐备情况</v>
      </c>
      <c r="C74" s="795" t="s">
        <v>1797</v>
      </c>
      <c r="D74" s="490">
        <f t="shared" si="14"/>
        <v>3.9199999999999999E-3</v>
      </c>
      <c r="E74" s="263"/>
      <c r="F74" s="938"/>
      <c r="G74" s="491">
        <v>3.9199999999999999E-3</v>
      </c>
      <c r="H74" s="494">
        <f t="shared" si="15"/>
        <v>0</v>
      </c>
      <c r="I74" s="252">
        <v>0.08</v>
      </c>
      <c r="J74" s="492">
        <f t="shared" si="16"/>
        <v>7.8399999999999997E-3</v>
      </c>
      <c r="K74" s="492">
        <f t="shared" si="17"/>
        <v>3.9199999999999999E-3</v>
      </c>
      <c r="L74" s="492">
        <v>0</v>
      </c>
      <c r="M74" s="492">
        <f t="shared" si="18"/>
        <v>-3.9199999999999999E-3</v>
      </c>
      <c r="N74" s="492">
        <f t="shared" si="18"/>
        <v>-7.8399999999999997E-3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901</v>
      </c>
      <c r="B75" s="486" t="str">
        <f>估价对象房地状况!C10</f>
        <v>估价对象所在区域基础设施水平</v>
      </c>
      <c r="C75" s="795" t="s">
        <v>1798</v>
      </c>
      <c r="D75" s="490">
        <f t="shared" si="14"/>
        <v>1.176E-2</v>
      </c>
      <c r="E75" s="263"/>
      <c r="F75" s="938"/>
      <c r="G75" s="491">
        <v>5.8799999999999998E-3</v>
      </c>
      <c r="H75" s="494">
        <f t="shared" si="15"/>
        <v>0</v>
      </c>
      <c r="I75" s="252">
        <v>0.12</v>
      </c>
      <c r="J75" s="492">
        <f t="shared" si="16"/>
        <v>1.176E-2</v>
      </c>
      <c r="K75" s="492">
        <f t="shared" si="17"/>
        <v>5.8799999999999998E-3</v>
      </c>
      <c r="L75" s="492">
        <v>0</v>
      </c>
      <c r="M75" s="492">
        <f t="shared" si="18"/>
        <v>-5.8799999999999998E-3</v>
      </c>
      <c r="N75" s="492">
        <f t="shared" si="18"/>
        <v>-1.176E-2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36">
      <c r="A76" s="247" t="s">
        <v>899</v>
      </c>
      <c r="B76" s="1536" t="s">
        <v>1736</v>
      </c>
      <c r="C76" s="795" t="s">
        <v>1797</v>
      </c>
      <c r="D76" s="490">
        <f t="shared" si="14"/>
        <v>2.4500000000000004E-3</v>
      </c>
      <c r="E76" s="263"/>
      <c r="F76" s="938"/>
      <c r="G76" s="491">
        <v>2.4500000000000004E-3</v>
      </c>
      <c r="H76" s="494">
        <f t="shared" si="15"/>
        <v>0</v>
      </c>
      <c r="I76" s="252">
        <v>0.05</v>
      </c>
      <c r="J76" s="492">
        <f t="shared" si="16"/>
        <v>4.9000000000000007E-3</v>
      </c>
      <c r="K76" s="492">
        <f t="shared" si="17"/>
        <v>2.4500000000000004E-3</v>
      </c>
      <c r="L76" s="492">
        <v>0</v>
      </c>
      <c r="M76" s="492">
        <f t="shared" si="18"/>
        <v>-2.4500000000000004E-3</v>
      </c>
      <c r="N76" s="492">
        <f t="shared" si="18"/>
        <v>-4.9000000000000007E-3</v>
      </c>
      <c r="Z76" s="709"/>
      <c r="AA76" s="710"/>
      <c r="AG76" s="711"/>
      <c r="AK76" s="710"/>
    </row>
    <row r="77" spans="1:37" ht="36">
      <c r="A77" s="247" t="s">
        <v>902</v>
      </c>
      <c r="B77" s="251" t="str">
        <f>估价对象房地状况!C8</f>
        <v>区域自然环境：；人文环境；综合评价环境状况一般</v>
      </c>
      <c r="C77" s="795" t="s">
        <v>1797</v>
      </c>
      <c r="D77" s="490">
        <f t="shared" si="14"/>
        <v>7.3499999999999998E-3</v>
      </c>
      <c r="E77" s="263"/>
      <c r="F77" s="938"/>
      <c r="G77" s="491">
        <v>7.3499999999999998E-3</v>
      </c>
      <c r="H77" s="494">
        <f t="shared" si="15"/>
        <v>0</v>
      </c>
      <c r="I77" s="252">
        <v>0.15</v>
      </c>
      <c r="J77" s="492">
        <f t="shared" si="16"/>
        <v>1.47E-2</v>
      </c>
      <c r="K77" s="492">
        <f t="shared" si="17"/>
        <v>7.3499999999999998E-3</v>
      </c>
      <c r="L77" s="492">
        <v>0</v>
      </c>
      <c r="M77" s="492">
        <f t="shared" si="18"/>
        <v>-7.3499999999999998E-3</v>
      </c>
      <c r="N77" s="492">
        <f t="shared" si="18"/>
        <v>-1.47E-2</v>
      </c>
      <c r="Z77" s="709"/>
      <c r="AA77" s="710"/>
      <c r="AG77" s="711"/>
      <c r="AK77" s="710"/>
    </row>
    <row r="78" spans="1:37" ht="36.6" thickBot="1">
      <c r="A78" s="258" t="s">
        <v>906</v>
      </c>
      <c r="B78" s="489"/>
      <c r="C78" s="795" t="s">
        <v>1797</v>
      </c>
      <c r="D78" s="490">
        <f t="shared" si="14"/>
        <v>1.9599999999999999E-3</v>
      </c>
      <c r="E78" s="264"/>
      <c r="F78" s="938"/>
      <c r="G78" s="491">
        <v>1.9599999999999999E-3</v>
      </c>
      <c r="H78" s="494">
        <f t="shared" si="15"/>
        <v>0</v>
      </c>
      <c r="I78" s="260">
        <v>0.04</v>
      </c>
      <c r="J78" s="492">
        <f t="shared" si="16"/>
        <v>3.9199999999999999E-3</v>
      </c>
      <c r="K78" s="492">
        <f t="shared" si="17"/>
        <v>1.9599999999999999E-3</v>
      </c>
      <c r="L78" s="492">
        <v>0</v>
      </c>
      <c r="M78" s="492">
        <f t="shared" si="18"/>
        <v>-1.9599999999999999E-3</v>
      </c>
      <c r="N78" s="492">
        <f t="shared" si="18"/>
        <v>-3.9199999999999999E-3</v>
      </c>
      <c r="Z78" s="709"/>
      <c r="AA78" s="710"/>
      <c r="AG78" s="711"/>
      <c r="AK78" s="710"/>
    </row>
    <row r="79" spans="1:37" ht="14.4">
      <c r="A79" s="242" t="s">
        <v>316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891</v>
      </c>
      <c r="B80" s="254"/>
      <c r="C80" s="248" t="s">
        <v>893</v>
      </c>
      <c r="D80" s="248" t="s">
        <v>1454</v>
      </c>
      <c r="E80" s="793" t="s">
        <v>1461</v>
      </c>
      <c r="F80" s="922" t="s">
        <v>1140</v>
      </c>
      <c r="G80" s="248" t="s">
        <v>1477</v>
      </c>
      <c r="H80" s="923" t="s">
        <v>1157</v>
      </c>
      <c r="I80" s="248" t="s">
        <v>1475</v>
      </c>
      <c r="J80" s="794" t="s">
        <v>14</v>
      </c>
      <c r="K80" s="794" t="s">
        <v>13</v>
      </c>
      <c r="L80" s="794" t="s">
        <v>1462</v>
      </c>
      <c r="M80" s="794" t="s">
        <v>1463</v>
      </c>
      <c r="N80" s="794" t="s">
        <v>1464</v>
      </c>
      <c r="Z80" s="709"/>
      <c r="AA80" s="710"/>
      <c r="AG80" s="711"/>
      <c r="AK80" s="710"/>
    </row>
    <row r="81" spans="1:37" ht="36">
      <c r="A81" s="247" t="s">
        <v>907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60">
      <c r="A82" s="247" t="s">
        <v>895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896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3.8">
      <c r="A84" s="247" t="s">
        <v>905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900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901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36">
      <c r="A87" s="247" t="s">
        <v>899</v>
      </c>
      <c r="B87" s="1536" t="s">
        <v>1736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48.6" thickBot="1">
      <c r="A88" s="258" t="s">
        <v>908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09" t="s">
        <v>1158</v>
      </c>
      <c r="B91" s="1809"/>
      <c r="C91" s="1809"/>
      <c r="D91" s="1809"/>
      <c r="E91" s="1809"/>
      <c r="F91" s="1809"/>
      <c r="G91" s="1809"/>
      <c r="H91" s="1809"/>
      <c r="I91" s="1809"/>
      <c r="J91" s="1809"/>
      <c r="K91" s="653"/>
      <c r="L91" s="653"/>
      <c r="M91" s="653"/>
      <c r="N91" s="653"/>
    </row>
    <row r="92" spans="1:37">
      <c r="A92" s="1817" t="s">
        <v>1159</v>
      </c>
      <c r="B92" s="1817" t="s">
        <v>1160</v>
      </c>
      <c r="C92" s="341" t="s">
        <v>1161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17"/>
      <c r="B93" s="1817"/>
      <c r="C93" s="651" t="s">
        <v>1162</v>
      </c>
      <c r="D93" s="651" t="s">
        <v>1163</v>
      </c>
      <c r="E93" s="651" t="s">
        <v>1164</v>
      </c>
      <c r="F93" s="651" t="s">
        <v>1165</v>
      </c>
      <c r="G93" s="651" t="s">
        <v>1166</v>
      </c>
      <c r="H93" s="651" t="s">
        <v>1167</v>
      </c>
      <c r="I93" s="651" t="s">
        <v>1168</v>
      </c>
      <c r="J93" s="651" t="s">
        <v>1169</v>
      </c>
      <c r="K93" s="651" t="s">
        <v>1170</v>
      </c>
      <c r="L93" s="651" t="s">
        <v>1171</v>
      </c>
      <c r="M93" s="651" t="s">
        <v>1172</v>
      </c>
      <c r="N93" s="651" t="s">
        <v>1173</v>
      </c>
    </row>
    <row r="94" spans="1:37" ht="13.2">
      <c r="A94" s="1818" t="s">
        <v>1478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3.2">
      <c r="A95" s="1819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3.2">
      <c r="A96" s="1819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3.2">
      <c r="A97" s="1819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3.2">
      <c r="A98" s="1819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3.2">
      <c r="A99" s="1819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3.2">
      <c r="A100" s="1819"/>
      <c r="B100" s="939" t="s">
        <v>1481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3.2">
      <c r="A101" s="1820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3.2">
      <c r="A102" s="1818" t="s">
        <v>1479</v>
      </c>
      <c r="B102" s="943" t="s">
        <v>1482</v>
      </c>
      <c r="C102" s="944">
        <f>$G$3</f>
        <v>2</v>
      </c>
      <c r="D102" s="944">
        <f t="shared" ref="D102:N102" si="25">$G$3</f>
        <v>2</v>
      </c>
      <c r="E102" s="944">
        <f t="shared" si="25"/>
        <v>2</v>
      </c>
      <c r="F102" s="944">
        <f t="shared" si="25"/>
        <v>2</v>
      </c>
      <c r="G102" s="944">
        <f t="shared" si="25"/>
        <v>2</v>
      </c>
      <c r="H102" s="944">
        <f t="shared" si="25"/>
        <v>2</v>
      </c>
      <c r="I102" s="944">
        <f t="shared" si="25"/>
        <v>2</v>
      </c>
      <c r="J102" s="944">
        <f t="shared" si="25"/>
        <v>2</v>
      </c>
      <c r="K102" s="944">
        <f t="shared" si="25"/>
        <v>2</v>
      </c>
      <c r="L102" s="944">
        <f t="shared" si="25"/>
        <v>2</v>
      </c>
      <c r="M102" s="944">
        <f t="shared" si="25"/>
        <v>2</v>
      </c>
      <c r="N102" s="944">
        <f t="shared" si="25"/>
        <v>2</v>
      </c>
    </row>
    <row r="103" spans="1:14" ht="13.2">
      <c r="A103" s="1819"/>
      <c r="B103" s="939">
        <v>1</v>
      </c>
      <c r="C103" s="940">
        <f>1.9362/C102</f>
        <v>0.96809999999999996</v>
      </c>
      <c r="D103" s="940">
        <f>1.9362/D102</f>
        <v>0.96809999999999996</v>
      </c>
      <c r="E103" s="940">
        <f>1.8629/E102</f>
        <v>0.93145</v>
      </c>
      <c r="F103" s="940">
        <f>1.8629/F102</f>
        <v>0.93145</v>
      </c>
      <c r="G103" s="940">
        <f>1.8629/G102</f>
        <v>0.93145</v>
      </c>
      <c r="H103" s="940">
        <f>1.8629/H102</f>
        <v>0.93145</v>
      </c>
      <c r="I103" s="940">
        <f>1.8629/I102</f>
        <v>0.93145</v>
      </c>
      <c r="J103" s="940">
        <f>1.942/J102</f>
        <v>0.97099999999999997</v>
      </c>
      <c r="K103" s="940">
        <f>1.942/K102</f>
        <v>0.97099999999999997</v>
      </c>
      <c r="L103" s="940">
        <f>1.942/L102</f>
        <v>0.97099999999999997</v>
      </c>
      <c r="M103" s="940">
        <f>1.942/M102</f>
        <v>0.97099999999999997</v>
      </c>
      <c r="N103" s="940">
        <f>1.942/N102</f>
        <v>0.97099999999999997</v>
      </c>
    </row>
    <row r="104" spans="1:14" ht="13.2">
      <c r="A104" s="1819"/>
      <c r="B104" s="939">
        <v>2</v>
      </c>
      <c r="C104" s="940">
        <f>1.4198/C102</f>
        <v>0.70989999999999998</v>
      </c>
      <c r="D104" s="940">
        <f>1.4198/D102</f>
        <v>0.70989999999999998</v>
      </c>
      <c r="E104" s="940">
        <f>1.3372/E102</f>
        <v>0.66859999999999997</v>
      </c>
      <c r="F104" s="940">
        <f>1.3372/F102</f>
        <v>0.66859999999999997</v>
      </c>
      <c r="G104" s="940">
        <f>1.3372/G102</f>
        <v>0.66859999999999997</v>
      </c>
      <c r="H104" s="940">
        <f>1.3372/H102</f>
        <v>0.66859999999999997</v>
      </c>
      <c r="I104" s="940">
        <f>1.3372/I102</f>
        <v>0.66859999999999997</v>
      </c>
      <c r="J104" s="940">
        <f>1.2799/J102</f>
        <v>0.63995000000000002</v>
      </c>
      <c r="K104" s="940">
        <f>1.2799/K102</f>
        <v>0.63995000000000002</v>
      </c>
      <c r="L104" s="940">
        <f>1.2799/L102</f>
        <v>0.63995000000000002</v>
      </c>
      <c r="M104" s="940">
        <f>1.2799/M102</f>
        <v>0.63995000000000002</v>
      </c>
      <c r="N104" s="940">
        <f>1.2799/N102</f>
        <v>0.63995000000000002</v>
      </c>
    </row>
    <row r="105" spans="1:14" ht="13.2">
      <c r="A105" s="1819"/>
      <c r="B105" s="939">
        <v>3</v>
      </c>
      <c r="C105" s="940">
        <f>1.1594/C102</f>
        <v>0.57969999999999999</v>
      </c>
      <c r="D105" s="940">
        <f>1.1594/D102</f>
        <v>0.57969999999999999</v>
      </c>
      <c r="E105" s="940">
        <f>1.0788/E102</f>
        <v>0.53939999999999999</v>
      </c>
      <c r="F105" s="940">
        <f>1.0788/F102</f>
        <v>0.53939999999999999</v>
      </c>
      <c r="G105" s="940">
        <f>1.0788/G102</f>
        <v>0.53939999999999999</v>
      </c>
      <c r="H105" s="940">
        <f>1.0788/H102</f>
        <v>0.53939999999999999</v>
      </c>
      <c r="I105" s="940">
        <f>1.0788/I102</f>
        <v>0.53939999999999999</v>
      </c>
      <c r="J105" s="940">
        <f>1.0072/J102</f>
        <v>0.50360000000000005</v>
      </c>
      <c r="K105" s="940">
        <f>1.0072/K102</f>
        <v>0.50360000000000005</v>
      </c>
      <c r="L105" s="940">
        <f>1.0072/L102</f>
        <v>0.50360000000000005</v>
      </c>
      <c r="M105" s="940">
        <f>1.0072/M102</f>
        <v>0.50360000000000005</v>
      </c>
      <c r="N105" s="940">
        <f>1.0072/N102</f>
        <v>0.50360000000000005</v>
      </c>
    </row>
    <row r="106" spans="1:14" ht="13.2">
      <c r="A106" s="1819"/>
      <c r="B106" s="939">
        <v>4</v>
      </c>
      <c r="C106" s="940">
        <f>0.9622/C102</f>
        <v>0.48110000000000003</v>
      </c>
      <c r="D106" s="940">
        <f>0.9622/D102</f>
        <v>0.48110000000000003</v>
      </c>
      <c r="E106" s="940">
        <f>0.8656/E102</f>
        <v>0.43280000000000002</v>
      </c>
      <c r="F106" s="940">
        <f>0.8656/F102</f>
        <v>0.43280000000000002</v>
      </c>
      <c r="G106" s="940">
        <f>0.8656/G102</f>
        <v>0.43280000000000002</v>
      </c>
      <c r="H106" s="940">
        <f>0.8656/H102</f>
        <v>0.43280000000000002</v>
      </c>
      <c r="I106" s="940">
        <f>0.8656/I102</f>
        <v>0.43280000000000002</v>
      </c>
      <c r="J106" s="940">
        <f>0.7525/J102</f>
        <v>0.37624999999999997</v>
      </c>
      <c r="K106" s="940">
        <f>0.7525/K102</f>
        <v>0.37624999999999997</v>
      </c>
      <c r="L106" s="940">
        <f>0.7525/L102</f>
        <v>0.37624999999999997</v>
      </c>
      <c r="M106" s="940">
        <f>0.7525/M102</f>
        <v>0.37624999999999997</v>
      </c>
      <c r="N106" s="940">
        <f>0.7525/N102</f>
        <v>0.37624999999999997</v>
      </c>
    </row>
    <row r="107" spans="1:14" ht="13.2">
      <c r="A107" s="1819"/>
      <c r="B107" s="939">
        <v>5</v>
      </c>
      <c r="C107" s="940">
        <f>0.8417/C102</f>
        <v>0.42085</v>
      </c>
      <c r="D107" s="940">
        <f>0.8417/D102</f>
        <v>0.42085</v>
      </c>
      <c r="E107" s="940">
        <f>0.7371/E102</f>
        <v>0.36854999999999999</v>
      </c>
      <c r="F107" s="940">
        <f>0.7371/F102</f>
        <v>0.36854999999999999</v>
      </c>
      <c r="G107" s="940">
        <f>0.7371/G102</f>
        <v>0.36854999999999999</v>
      </c>
      <c r="H107" s="940">
        <f>0.7371/H102</f>
        <v>0.36854999999999999</v>
      </c>
      <c r="I107" s="940">
        <f>0.7371/I102</f>
        <v>0.36854999999999999</v>
      </c>
      <c r="J107" s="940">
        <f>0.5659/J102</f>
        <v>0.28294999999999998</v>
      </c>
      <c r="K107" s="940">
        <f>0.5659/K102</f>
        <v>0.28294999999999998</v>
      </c>
      <c r="L107" s="940">
        <f>0.5659/L102</f>
        <v>0.28294999999999998</v>
      </c>
      <c r="M107" s="940">
        <f>0.5659/M102</f>
        <v>0.28294999999999998</v>
      </c>
      <c r="N107" s="940">
        <f>0.5659/N102</f>
        <v>0.28294999999999998</v>
      </c>
    </row>
    <row r="108" spans="1:14" ht="13.2">
      <c r="A108" s="1819"/>
      <c r="B108" s="939">
        <v>6</v>
      </c>
      <c r="C108" s="940">
        <f>0.7608/C102</f>
        <v>0.38040000000000002</v>
      </c>
      <c r="D108" s="940">
        <f>0.7608/D102</f>
        <v>0.38040000000000002</v>
      </c>
      <c r="E108" s="940">
        <f>0.6482/E102</f>
        <v>0.3241</v>
      </c>
      <c r="F108" s="940">
        <f>0.6482/F102</f>
        <v>0.3241</v>
      </c>
      <c r="G108" s="940">
        <f>0.6482/G102</f>
        <v>0.3241</v>
      </c>
      <c r="H108" s="940">
        <f>0.6482/H102</f>
        <v>0.3241</v>
      </c>
      <c r="I108" s="940">
        <f>0.6482/I102</f>
        <v>0.3241</v>
      </c>
      <c r="J108" s="940">
        <f>0.4525/J102</f>
        <v>0.22625000000000001</v>
      </c>
      <c r="K108" s="940">
        <f>0.4525/K102</f>
        <v>0.22625000000000001</v>
      </c>
      <c r="L108" s="940">
        <f>0.4525/L102</f>
        <v>0.22625000000000001</v>
      </c>
      <c r="M108" s="940">
        <f>0.4525/M102</f>
        <v>0.22625000000000001</v>
      </c>
      <c r="N108" s="940">
        <f>0.4525/N102</f>
        <v>0.22625000000000001</v>
      </c>
    </row>
    <row r="109" spans="1:14" ht="13.2">
      <c r="A109" s="1819"/>
      <c r="B109" s="1821" t="s">
        <v>1483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3.2">
      <c r="A110" s="1820"/>
      <c r="B110" s="1822"/>
      <c r="C110" s="942">
        <f>(-0.163*(C109^2)-0.59*C109+7617)*(10^(-4))/C102</f>
        <v>0.38081235000000002</v>
      </c>
      <c r="D110" s="942">
        <f>(-0.163*(D109^2)-0.59*D109+7617)*(10^(-4))/D102</f>
        <v>0.38081235000000002</v>
      </c>
      <c r="E110" s="942">
        <f>(-0.161*(E109^2)-7.509*E109+6533)*(10^(-4))/E102</f>
        <v>0.32626650000000001</v>
      </c>
      <c r="F110" s="942">
        <f>(-0.161*(F109^2)-7.509*F109+6533)*(10^(-4))/F102</f>
        <v>0.32626650000000001</v>
      </c>
      <c r="G110" s="942">
        <f>(-0.161*(G109^2)-7.509*G109+6533)*(10^(-4))/G102</f>
        <v>0.32626650000000001</v>
      </c>
      <c r="H110" s="942">
        <f>(-0.161*(H109^2)-7.509*H109+6533)*(10^(-4))/H102</f>
        <v>0.32626650000000001</v>
      </c>
      <c r="I110" s="942">
        <f>(-0.161*(I109^2)-7.509*I109+6533)*(10^(-4))/I102</f>
        <v>0.32626650000000001</v>
      </c>
      <c r="J110" s="942">
        <f>(-0.214*(J109^2)-21.991*J109+4665)*(10^(-4))/J102</f>
        <v>0.23213975000000001</v>
      </c>
      <c r="K110" s="942">
        <f>(-0.214*(K109^2)-21.991*K109+4665)*(10^(-4))/K102</f>
        <v>0.23213975000000001</v>
      </c>
      <c r="L110" s="942">
        <f>(-0.214*(L109^2)-21.991*L109+4665)*(10^(-4))/L102</f>
        <v>0.23213975000000001</v>
      </c>
      <c r="M110" s="942">
        <f>(-0.214*(M109^2)-21.991*M109+4665)*(10^(-4))/M102</f>
        <v>0.23213975000000001</v>
      </c>
      <c r="N110" s="942">
        <f>(-0.214*(N109^2)-21.991*N109+4665)*(10^(-4))/N102</f>
        <v>0.23213975000000001</v>
      </c>
    </row>
    <row r="111" spans="1:14">
      <c r="A111" s="1816" t="s">
        <v>1174</v>
      </c>
      <c r="B111" s="1816"/>
      <c r="C111" s="1816"/>
      <c r="D111" s="1816"/>
      <c r="E111" s="1816"/>
      <c r="F111" s="1816"/>
      <c r="G111" s="1816"/>
      <c r="H111" s="1816"/>
      <c r="I111" s="1816"/>
      <c r="J111" s="1816"/>
      <c r="K111" s="650"/>
      <c r="L111" s="650"/>
      <c r="M111" s="650"/>
      <c r="N111" s="650"/>
    </row>
    <row r="113" spans="1:13" ht="12.6" thickBot="1"/>
    <row r="114" spans="1:13" ht="24.6" thickBot="1">
      <c r="A114" s="924" t="s">
        <v>1465</v>
      </c>
      <c r="B114" s="495">
        <f>G3</f>
        <v>2</v>
      </c>
      <c r="C114" s="925" t="s">
        <v>1466</v>
      </c>
      <c r="D114" s="351">
        <f>SUMPRODUCT((A116:A119=F114)*(B115:M115=H114)*B116:M119)</f>
        <v>0.85880000000000001</v>
      </c>
      <c r="E114" s="716" t="s">
        <v>1159</v>
      </c>
      <c r="F114" s="926" t="str">
        <f>E2</f>
        <v>住宅/居住</v>
      </c>
      <c r="G114" s="716" t="s">
        <v>1176</v>
      </c>
      <c r="H114" s="926" t="str">
        <f>G2</f>
        <v>三级</v>
      </c>
      <c r="I114" s="716"/>
      <c r="J114" s="797"/>
      <c r="K114" s="797"/>
      <c r="L114" s="797"/>
      <c r="M114" s="797"/>
    </row>
    <row r="115" spans="1:13">
      <c r="A115" s="927"/>
      <c r="B115" s="928" t="s">
        <v>1162</v>
      </c>
      <c r="C115" s="928" t="s">
        <v>1163</v>
      </c>
      <c r="D115" s="928" t="s">
        <v>1164</v>
      </c>
      <c r="E115" s="929" t="s">
        <v>1165</v>
      </c>
      <c r="F115" s="929" t="s">
        <v>1166</v>
      </c>
      <c r="G115" s="929" t="s">
        <v>1167</v>
      </c>
      <c r="H115" s="930" t="s">
        <v>1168</v>
      </c>
      <c r="I115" s="930" t="s">
        <v>1169</v>
      </c>
      <c r="J115" s="931" t="s">
        <v>1170</v>
      </c>
      <c r="K115" s="931" t="s">
        <v>1171</v>
      </c>
      <c r="L115" s="931" t="s">
        <v>1172</v>
      </c>
      <c r="M115" s="932" t="s">
        <v>1173</v>
      </c>
    </row>
    <row r="116" spans="1:13" ht="13.2">
      <c r="A116" s="798" t="s">
        <v>0</v>
      </c>
      <c r="B116" s="355">
        <f>ROUND(0.9335-0.0094*B114,4)</f>
        <v>0.91469999999999996</v>
      </c>
      <c r="C116" s="355">
        <f>B116</f>
        <v>0.91469999999999996</v>
      </c>
      <c r="D116" s="355">
        <f>ROUND(0.8331-0.0109*B114,4)</f>
        <v>0.81130000000000002</v>
      </c>
      <c r="E116" s="355">
        <f>D116</f>
        <v>0.81130000000000002</v>
      </c>
      <c r="F116" s="355">
        <f>E116</f>
        <v>0.81130000000000002</v>
      </c>
      <c r="G116" s="355">
        <f>F116</f>
        <v>0.81130000000000002</v>
      </c>
      <c r="H116" s="355">
        <f>G116</f>
        <v>0.81130000000000002</v>
      </c>
      <c r="I116" s="355">
        <f>ROUND(0.689-0.0155*B114,4)</f>
        <v>0.65800000000000003</v>
      </c>
      <c r="J116" s="355">
        <f t="shared" ref="J116:M119" si="27">I116</f>
        <v>0.65800000000000003</v>
      </c>
      <c r="K116" s="355">
        <f t="shared" si="27"/>
        <v>0.65800000000000003</v>
      </c>
      <c r="L116" s="355">
        <f t="shared" si="27"/>
        <v>0.65800000000000003</v>
      </c>
      <c r="M116" s="356">
        <f t="shared" si="27"/>
        <v>0.65800000000000003</v>
      </c>
    </row>
    <row r="117" spans="1:13" ht="13.2">
      <c r="A117" s="798" t="s">
        <v>1301</v>
      </c>
      <c r="B117" s="355">
        <f>ROUND(0.949-0.012*B114,4)</f>
        <v>0.92500000000000004</v>
      </c>
      <c r="C117" s="355">
        <f>B117</f>
        <v>0.92500000000000004</v>
      </c>
      <c r="D117" s="355">
        <f>ROUND(0.8567-0.013*B114,4)</f>
        <v>0.83069999999999999</v>
      </c>
      <c r="E117" s="355">
        <f t="shared" ref="E117:H118" si="28">D117</f>
        <v>0.83069999999999999</v>
      </c>
      <c r="F117" s="355">
        <f t="shared" si="28"/>
        <v>0.83069999999999999</v>
      </c>
      <c r="G117" s="355">
        <f t="shared" si="28"/>
        <v>0.83069999999999999</v>
      </c>
      <c r="H117" s="355">
        <f t="shared" si="28"/>
        <v>0.83069999999999999</v>
      </c>
      <c r="I117" s="355">
        <f>ROUND(0.7694-0.014*B114,4)</f>
        <v>0.74139999999999995</v>
      </c>
      <c r="J117" s="355">
        <f t="shared" si="27"/>
        <v>0.74139999999999995</v>
      </c>
      <c r="K117" s="355">
        <f t="shared" si="27"/>
        <v>0.74139999999999995</v>
      </c>
      <c r="L117" s="355">
        <f t="shared" si="27"/>
        <v>0.74139999999999995</v>
      </c>
      <c r="M117" s="356">
        <f t="shared" si="27"/>
        <v>0.74139999999999995</v>
      </c>
    </row>
    <row r="118" spans="1:13" ht="13.2">
      <c r="A118" s="798" t="s">
        <v>1302</v>
      </c>
      <c r="B118" s="355">
        <f>ROUND(0.8808-0.006*B114,4)</f>
        <v>0.86880000000000002</v>
      </c>
      <c r="C118" s="355">
        <f>B118</f>
        <v>0.86880000000000002</v>
      </c>
      <c r="D118" s="355">
        <f>ROUND(0.8748-0.008*B114,4)</f>
        <v>0.85880000000000001</v>
      </c>
      <c r="E118" s="355">
        <f t="shared" si="28"/>
        <v>0.85880000000000001</v>
      </c>
      <c r="F118" s="355">
        <f t="shared" si="28"/>
        <v>0.85880000000000001</v>
      </c>
      <c r="G118" s="355">
        <f t="shared" si="28"/>
        <v>0.85880000000000001</v>
      </c>
      <c r="H118" s="355">
        <f t="shared" si="28"/>
        <v>0.85880000000000001</v>
      </c>
      <c r="I118" s="355">
        <f>ROUND(0.7412-0.0095*B114,4)</f>
        <v>0.72219999999999995</v>
      </c>
      <c r="J118" s="355">
        <f t="shared" si="27"/>
        <v>0.72219999999999995</v>
      </c>
      <c r="K118" s="355">
        <f t="shared" si="27"/>
        <v>0.72219999999999995</v>
      </c>
      <c r="L118" s="355">
        <f t="shared" si="27"/>
        <v>0.72219999999999995</v>
      </c>
      <c r="M118" s="356">
        <f t="shared" si="27"/>
        <v>0.72219999999999995</v>
      </c>
    </row>
    <row r="119" spans="1:13" ht="13.8" thickBot="1">
      <c r="A119" s="799" t="s">
        <v>225</v>
      </c>
      <c r="B119" s="357">
        <f>ROUND(0.7275-0.01*B114,4)</f>
        <v>0.70750000000000002</v>
      </c>
      <c r="C119" s="357">
        <f>B119</f>
        <v>0.70750000000000002</v>
      </c>
      <c r="D119" s="357">
        <f>ROUND(0.7043-0.012*B114,4)</f>
        <v>0.68030000000000002</v>
      </c>
      <c r="E119" s="357">
        <f>D119</f>
        <v>0.68030000000000002</v>
      </c>
      <c r="F119" s="357">
        <f>E119</f>
        <v>0.68030000000000002</v>
      </c>
      <c r="G119" s="357">
        <f>ROUND(0.6299-0.0122*B114,4)</f>
        <v>0.60550000000000004</v>
      </c>
      <c r="H119" s="357">
        <f>G119</f>
        <v>0.60550000000000004</v>
      </c>
      <c r="I119" s="357">
        <f>ROUND(0.5667-0.0136*B114,4)</f>
        <v>0.53949999999999998</v>
      </c>
      <c r="J119" s="357">
        <f t="shared" si="27"/>
        <v>0.53949999999999998</v>
      </c>
      <c r="K119" s="357">
        <f t="shared" si="27"/>
        <v>0.53949999999999998</v>
      </c>
      <c r="L119" s="357">
        <f t="shared" si="27"/>
        <v>0.53949999999999998</v>
      </c>
      <c r="M119" s="358">
        <f t="shared" si="27"/>
        <v>0.53949999999999998</v>
      </c>
    </row>
  </sheetData>
  <sheetProtection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4.4"/>
  <cols>
    <col min="1" max="1" width="12.6640625" style="301" customWidth="1"/>
    <col min="2" max="2" width="10.21875" style="241" customWidth="1"/>
  </cols>
  <sheetData>
    <row r="1" spans="1:6">
      <c r="A1" s="1823" t="s">
        <v>984</v>
      </c>
      <c r="B1" s="1823"/>
    </row>
    <row r="2" spans="1:6" ht="15" thickBot="1">
      <c r="A2" s="412"/>
      <c r="B2" s="412"/>
    </row>
    <row r="3" spans="1:6" ht="15" thickBot="1">
      <c r="A3" s="412"/>
      <c r="B3" s="412"/>
      <c r="C3" s="413" t="s">
        <v>985</v>
      </c>
      <c r="D3" s="413" t="s">
        <v>1299</v>
      </c>
      <c r="E3" s="413" t="s">
        <v>1300</v>
      </c>
      <c r="F3" s="413" t="s">
        <v>986</v>
      </c>
    </row>
    <row r="4" spans="1:6" ht="15" thickBot="1">
      <c r="A4" s="414" t="s">
        <v>987</v>
      </c>
      <c r="B4" s="415" t="s">
        <v>988</v>
      </c>
      <c r="C4" s="413"/>
      <c r="D4" s="413"/>
      <c r="E4" s="413"/>
      <c r="F4" s="413"/>
    </row>
    <row r="5" spans="1:6" ht="15" thickBot="1">
      <c r="A5" s="277" t="s">
        <v>989</v>
      </c>
      <c r="B5" s="278" t="s">
        <v>990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5" thickBot="1">
      <c r="A6" s="277" t="s">
        <v>342</v>
      </c>
      <c r="B6" s="271" t="s">
        <v>991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5" thickBot="1">
      <c r="A7" s="277" t="s">
        <v>342</v>
      </c>
      <c r="B7" s="285" t="s">
        <v>331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5" thickBot="1">
      <c r="A8" s="277" t="s">
        <v>342</v>
      </c>
      <c r="B8" s="271" t="s">
        <v>343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5" thickBot="1">
      <c r="A9" s="294" t="s">
        <v>342</v>
      </c>
      <c r="B9" s="286" t="s">
        <v>355</v>
      </c>
      <c r="C9" s="420">
        <v>0.05</v>
      </c>
      <c r="D9" s="421"/>
      <c r="E9" s="421"/>
      <c r="F9" s="422"/>
    </row>
    <row r="10" spans="1:6" ht="15" thickBot="1">
      <c r="A10" s="277" t="s">
        <v>402</v>
      </c>
      <c r="B10" s="278" t="s">
        <v>992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5" thickBot="1">
      <c r="A11" s="277" t="s">
        <v>402</v>
      </c>
      <c r="B11" s="285" t="s">
        <v>318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5" thickBot="1">
      <c r="A12" s="277" t="s">
        <v>402</v>
      </c>
      <c r="B12" s="285" t="s">
        <v>251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5" thickBot="1">
      <c r="A13" s="277" t="s">
        <v>402</v>
      </c>
      <c r="B13" s="285" t="s">
        <v>344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5" thickBot="1">
      <c r="A14" s="277" t="s">
        <v>402</v>
      </c>
      <c r="B14" s="285" t="s">
        <v>356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5" thickBot="1">
      <c r="A15" s="277" t="s">
        <v>402</v>
      </c>
      <c r="B15" s="285" t="s">
        <v>368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5" thickBot="1">
      <c r="A16" s="277" t="s">
        <v>402</v>
      </c>
      <c r="B16" s="285" t="s">
        <v>380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5" thickBot="1">
      <c r="A17" s="277" t="s">
        <v>402</v>
      </c>
      <c r="B17" s="285" t="s">
        <v>392</v>
      </c>
      <c r="C17" s="418">
        <v>9.5000000000000001E-2</v>
      </c>
      <c r="D17" s="418">
        <v>0.1</v>
      </c>
      <c r="E17" s="418">
        <v>0.1</v>
      </c>
      <c r="F17" s="423"/>
    </row>
    <row r="18" spans="1:6" ht="15" thickBot="1">
      <c r="A18" s="277" t="s">
        <v>402</v>
      </c>
      <c r="B18" s="285" t="s">
        <v>405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5" thickBot="1">
      <c r="A19" s="277" t="s">
        <v>402</v>
      </c>
      <c r="B19" s="285" t="s">
        <v>416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5" thickBot="1">
      <c r="A20" s="277" t="s">
        <v>402</v>
      </c>
      <c r="B20" s="285" t="s">
        <v>427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5" thickBot="1">
      <c r="A21" s="277" t="s">
        <v>402</v>
      </c>
      <c r="B21" s="285" t="s">
        <v>438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5" thickBot="1">
      <c r="A22" s="277" t="s">
        <v>402</v>
      </c>
      <c r="B22" s="285" t="s">
        <v>993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5" thickBot="1">
      <c r="A23" s="277" t="s">
        <v>402</v>
      </c>
      <c r="B23" s="285" t="s">
        <v>460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5" thickBot="1">
      <c r="A24" s="277" t="s">
        <v>402</v>
      </c>
      <c r="B24" s="285" t="s">
        <v>471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5" thickBot="1">
      <c r="A25" s="277" t="s">
        <v>402</v>
      </c>
      <c r="B25" s="285" t="s">
        <v>481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5" thickBot="1">
      <c r="A26" s="277" t="s">
        <v>402</v>
      </c>
      <c r="B26" s="285" t="s">
        <v>491</v>
      </c>
      <c r="C26" s="424"/>
      <c r="D26" s="418">
        <v>9.6000000000000002E-2</v>
      </c>
      <c r="E26" s="418">
        <v>9.2999999999999999E-2</v>
      </c>
      <c r="F26" s="423"/>
    </row>
    <row r="27" spans="1:6" ht="15" thickBot="1">
      <c r="A27" s="277" t="s">
        <v>402</v>
      </c>
      <c r="B27" s="285" t="s">
        <v>501</v>
      </c>
      <c r="C27" s="424"/>
      <c r="D27" s="418">
        <v>7.5999999999999998E-2</v>
      </c>
      <c r="E27" s="418">
        <v>9.1999999999999998E-2</v>
      </c>
      <c r="F27" s="423"/>
    </row>
    <row r="28" spans="1:6" ht="15" thickBot="1">
      <c r="A28" s="294" t="s">
        <v>402</v>
      </c>
      <c r="B28" s="286" t="s">
        <v>511</v>
      </c>
      <c r="C28" s="421"/>
      <c r="D28" s="420">
        <v>7.5999999999999998E-2</v>
      </c>
      <c r="E28" s="420">
        <v>9.1999999999999998E-2</v>
      </c>
      <c r="F28" s="422"/>
    </row>
    <row r="29" spans="1:6" ht="15" thickBot="1">
      <c r="A29" s="277" t="s">
        <v>580</v>
      </c>
      <c r="B29" s="278" t="s">
        <v>994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5" thickBot="1">
      <c r="A30" s="277" t="s">
        <v>580</v>
      </c>
      <c r="B30" s="285" t="s">
        <v>319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5" thickBot="1">
      <c r="A31" s="277" t="s">
        <v>580</v>
      </c>
      <c r="B31" s="285" t="s">
        <v>332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5" thickBot="1">
      <c r="A32" s="277" t="s">
        <v>580</v>
      </c>
      <c r="B32" s="285" t="s">
        <v>345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5" thickBot="1">
      <c r="A33" s="277" t="s">
        <v>580</v>
      </c>
      <c r="B33" s="285" t="s">
        <v>357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5" thickBot="1">
      <c r="A34" s="277" t="s">
        <v>580</v>
      </c>
      <c r="B34" s="285" t="s">
        <v>369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5" thickBot="1">
      <c r="A35" s="277" t="s">
        <v>580</v>
      </c>
      <c r="B35" s="285" t="s">
        <v>381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5" thickBot="1">
      <c r="A36" s="277" t="s">
        <v>580</v>
      </c>
      <c r="B36" s="285" t="s">
        <v>393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5" thickBot="1">
      <c r="A37" s="277" t="s">
        <v>580</v>
      </c>
      <c r="B37" s="285" t="s">
        <v>406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5" thickBot="1">
      <c r="A38" s="277" t="s">
        <v>580</v>
      </c>
      <c r="B38" s="285" t="s">
        <v>417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5" thickBot="1">
      <c r="A39" s="277" t="s">
        <v>580</v>
      </c>
      <c r="B39" s="285" t="s">
        <v>428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5" thickBot="1">
      <c r="A40" s="277" t="s">
        <v>580</v>
      </c>
      <c r="B40" s="285" t="s">
        <v>439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5" thickBot="1">
      <c r="A41" s="277" t="s">
        <v>580</v>
      </c>
      <c r="B41" s="285" t="s">
        <v>450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5" thickBot="1">
      <c r="A42" s="277" t="s">
        <v>580</v>
      </c>
      <c r="B42" s="285" t="s">
        <v>461</v>
      </c>
      <c r="C42" s="418">
        <v>0.1</v>
      </c>
      <c r="D42" s="418">
        <v>8.7999999999999995E-2</v>
      </c>
      <c r="E42" s="418">
        <v>0.1</v>
      </c>
      <c r="F42" s="423"/>
    </row>
    <row r="43" spans="1:6" ht="15" thickBot="1">
      <c r="A43" s="277" t="s">
        <v>580</v>
      </c>
      <c r="B43" s="285" t="s">
        <v>472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5" thickBot="1">
      <c r="A44" s="277" t="s">
        <v>580</v>
      </c>
      <c r="B44" s="285" t="s">
        <v>482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5" thickBot="1">
      <c r="A45" s="277" t="s">
        <v>580</v>
      </c>
      <c r="B45" s="285" t="s">
        <v>492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5" thickBot="1">
      <c r="A46" s="277" t="s">
        <v>580</v>
      </c>
      <c r="B46" s="285" t="s">
        <v>502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5" thickBot="1">
      <c r="A47" s="277" t="s">
        <v>580</v>
      </c>
      <c r="B47" s="285" t="s">
        <v>512</v>
      </c>
      <c r="C47" s="418">
        <v>9.6000000000000002E-2</v>
      </c>
      <c r="D47" s="424"/>
      <c r="E47" s="418">
        <v>6.9000000000000006E-2</v>
      </c>
      <c r="F47" s="423"/>
    </row>
    <row r="48" spans="1:6" ht="15" thickBot="1">
      <c r="A48" s="294" t="s">
        <v>580</v>
      </c>
      <c r="B48" s="286" t="s">
        <v>521</v>
      </c>
      <c r="C48" s="420">
        <v>9.8000000000000004E-2</v>
      </c>
      <c r="D48" s="421"/>
      <c r="E48" s="420">
        <v>9.5000000000000001E-2</v>
      </c>
      <c r="F48" s="422"/>
    </row>
    <row r="49" spans="1:6" ht="15" thickBot="1">
      <c r="A49" s="277" t="s">
        <v>250</v>
      </c>
      <c r="B49" s="278" t="s">
        <v>995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5" thickBot="1">
      <c r="A50" s="277" t="s">
        <v>250</v>
      </c>
      <c r="B50" s="271" t="s">
        <v>320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5" thickBot="1">
      <c r="A51" s="277" t="s">
        <v>250</v>
      </c>
      <c r="B51" s="271" t="s">
        <v>333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5" thickBot="1">
      <c r="A52" s="277" t="s">
        <v>250</v>
      </c>
      <c r="B52" s="271" t="s">
        <v>346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5" thickBot="1">
      <c r="A53" s="277" t="s">
        <v>250</v>
      </c>
      <c r="B53" s="271" t="s">
        <v>358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5" thickBot="1">
      <c r="A54" s="277" t="s">
        <v>250</v>
      </c>
      <c r="B54" s="271" t="s">
        <v>370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5" thickBot="1">
      <c r="A55" s="277" t="s">
        <v>250</v>
      </c>
      <c r="B55" s="271" t="s">
        <v>382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5" thickBot="1">
      <c r="A56" s="277" t="s">
        <v>250</v>
      </c>
      <c r="B56" s="271" t="s">
        <v>394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5" thickBot="1">
      <c r="A57" s="277" t="s">
        <v>250</v>
      </c>
      <c r="B57" s="271" t="s">
        <v>407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5" thickBot="1">
      <c r="A58" s="277" t="s">
        <v>250</v>
      </c>
      <c r="B58" s="271" t="s">
        <v>418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5" thickBot="1">
      <c r="A59" s="277" t="s">
        <v>250</v>
      </c>
      <c r="B59" s="271" t="s">
        <v>429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5" thickBot="1">
      <c r="A60" s="277" t="s">
        <v>250</v>
      </c>
      <c r="B60" s="271" t="s">
        <v>440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5" thickBot="1">
      <c r="A61" s="277" t="s">
        <v>250</v>
      </c>
      <c r="B61" s="271" t="s">
        <v>451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5" thickBot="1">
      <c r="A62" s="277" t="s">
        <v>250</v>
      </c>
      <c r="B62" s="271" t="s">
        <v>462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5" thickBot="1">
      <c r="A63" s="277" t="s">
        <v>250</v>
      </c>
      <c r="B63" s="271" t="s">
        <v>473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5" thickBot="1">
      <c r="A64" s="277" t="s">
        <v>250</v>
      </c>
      <c r="B64" s="271" t="s">
        <v>483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5" thickBot="1">
      <c r="A65" s="277" t="s">
        <v>250</v>
      </c>
      <c r="B65" s="271" t="s">
        <v>493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5" thickBot="1">
      <c r="A66" s="277" t="s">
        <v>250</v>
      </c>
      <c r="B66" s="271" t="s">
        <v>503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5" thickBot="1">
      <c r="A67" s="277" t="s">
        <v>250</v>
      </c>
      <c r="B67" s="271" t="s">
        <v>513</v>
      </c>
      <c r="C67" s="418">
        <v>9.4E-2</v>
      </c>
      <c r="D67" s="418">
        <v>0.1</v>
      </c>
      <c r="E67" s="418">
        <v>8.7999999999999995E-2</v>
      </c>
      <c r="F67" s="423"/>
    </row>
    <row r="68" spans="1:6" ht="15" thickBot="1">
      <c r="A68" s="277" t="s">
        <v>250</v>
      </c>
      <c r="B68" s="271" t="s">
        <v>522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5" thickBot="1">
      <c r="A69" s="277" t="s">
        <v>250</v>
      </c>
      <c r="B69" s="271" t="s">
        <v>531</v>
      </c>
      <c r="C69" s="418">
        <v>6.4000000000000001E-2</v>
      </c>
      <c r="D69" s="418">
        <v>0.1</v>
      </c>
      <c r="E69" s="418">
        <v>0.1</v>
      </c>
      <c r="F69" s="423"/>
    </row>
    <row r="70" spans="1:6" ht="15" thickBot="1">
      <c r="A70" s="277" t="s">
        <v>250</v>
      </c>
      <c r="B70" s="271" t="s">
        <v>539</v>
      </c>
      <c r="C70" s="418">
        <v>9.0999999999999998E-2</v>
      </c>
      <c r="D70" s="424"/>
      <c r="E70" s="424"/>
      <c r="F70" s="423"/>
    </row>
    <row r="71" spans="1:6" ht="15" thickBot="1">
      <c r="A71" s="277" t="s">
        <v>250</v>
      </c>
      <c r="B71" s="271" t="s">
        <v>546</v>
      </c>
      <c r="C71" s="418">
        <v>0.1</v>
      </c>
      <c r="D71" s="424"/>
      <c r="E71" s="424"/>
      <c r="F71" s="423"/>
    </row>
    <row r="72" spans="1:6" ht="24.6" thickBot="1">
      <c r="A72" s="277" t="s">
        <v>250</v>
      </c>
      <c r="B72" s="271" t="s">
        <v>996</v>
      </c>
      <c r="C72" s="424"/>
      <c r="D72" s="424"/>
      <c r="E72" s="424"/>
      <c r="F72" s="419">
        <v>0.05</v>
      </c>
    </row>
    <row r="73" spans="1:6" ht="24.6" thickBot="1">
      <c r="A73" s="277" t="s">
        <v>250</v>
      </c>
      <c r="B73" s="271" t="s">
        <v>997</v>
      </c>
      <c r="C73" s="424"/>
      <c r="D73" s="424"/>
      <c r="E73" s="424"/>
      <c r="F73" s="419">
        <v>0.05</v>
      </c>
    </row>
    <row r="74" spans="1:6" ht="24.6" thickBot="1">
      <c r="A74" s="277" t="s">
        <v>250</v>
      </c>
      <c r="B74" s="271" t="s">
        <v>998</v>
      </c>
      <c r="C74" s="424"/>
      <c r="D74" s="424"/>
      <c r="E74" s="424"/>
      <c r="F74" s="419">
        <v>0.05</v>
      </c>
    </row>
    <row r="75" spans="1:6" ht="24.6" thickBot="1">
      <c r="A75" s="294" t="s">
        <v>250</v>
      </c>
      <c r="B75" s="287" t="s">
        <v>999</v>
      </c>
      <c r="C75" s="421"/>
      <c r="D75" s="421"/>
      <c r="E75" s="421"/>
      <c r="F75" s="425">
        <v>0.05</v>
      </c>
    </row>
    <row r="76" spans="1:6" ht="15" thickBot="1">
      <c r="A76" s="277" t="s">
        <v>662</v>
      </c>
      <c r="B76" s="278" t="s">
        <v>1000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5" thickBot="1">
      <c r="A77" s="277" t="s">
        <v>662</v>
      </c>
      <c r="B77" s="271" t="s">
        <v>321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5" thickBot="1">
      <c r="A78" s="277" t="s">
        <v>662</v>
      </c>
      <c r="B78" s="271" t="s">
        <v>334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5" thickBot="1">
      <c r="A79" s="277" t="s">
        <v>662</v>
      </c>
      <c r="B79" s="271" t="s">
        <v>347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5" thickBot="1">
      <c r="A80" s="277" t="s">
        <v>662</v>
      </c>
      <c r="B80" s="271" t="s">
        <v>359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5" thickBot="1">
      <c r="A81" s="277" t="s">
        <v>662</v>
      </c>
      <c r="B81" s="271" t="s">
        <v>371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5" thickBot="1">
      <c r="A82" s="277" t="s">
        <v>662</v>
      </c>
      <c r="B82" s="271" t="s">
        <v>383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5" thickBot="1">
      <c r="A83" s="277" t="s">
        <v>662</v>
      </c>
      <c r="B83" s="271" t="s">
        <v>395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5" thickBot="1">
      <c r="A84" s="277" t="s">
        <v>662</v>
      </c>
      <c r="B84" s="271" t="s">
        <v>408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5" thickBot="1">
      <c r="A85" s="277" t="s">
        <v>662</v>
      </c>
      <c r="B85" s="271" t="s">
        <v>419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5" thickBot="1">
      <c r="A86" s="277" t="s">
        <v>662</v>
      </c>
      <c r="B86" s="271" t="s">
        <v>430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5" thickBot="1">
      <c r="A87" s="277" t="s">
        <v>662</v>
      </c>
      <c r="B87" s="271" t="s">
        <v>441</v>
      </c>
      <c r="C87" s="418">
        <v>0.1</v>
      </c>
      <c r="D87" s="418">
        <v>0.1</v>
      </c>
      <c r="E87" s="418">
        <v>9.8000000000000004E-2</v>
      </c>
      <c r="F87" s="423"/>
    </row>
    <row r="88" spans="1:6" ht="15" thickBot="1">
      <c r="A88" s="277" t="s">
        <v>662</v>
      </c>
      <c r="B88" s="271" t="s">
        <v>452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5" thickBot="1">
      <c r="A89" s="277" t="s">
        <v>662</v>
      </c>
      <c r="B89" s="271" t="s">
        <v>463</v>
      </c>
      <c r="C89" s="418">
        <v>0.1</v>
      </c>
      <c r="D89" s="418">
        <v>0.1</v>
      </c>
      <c r="E89" s="418">
        <v>9.7000000000000003E-2</v>
      </c>
      <c r="F89" s="423"/>
    </row>
    <row r="90" spans="1:6" ht="15" thickBot="1">
      <c r="A90" s="277" t="s">
        <v>662</v>
      </c>
      <c r="B90" s="271" t="s">
        <v>474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5" thickBot="1">
      <c r="A91" s="277" t="s">
        <v>662</v>
      </c>
      <c r="B91" s="271" t="s">
        <v>484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5" thickBot="1">
      <c r="A92" s="277" t="s">
        <v>662</v>
      </c>
      <c r="B92" s="271" t="s">
        <v>494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5" thickBot="1">
      <c r="A93" s="277" t="s">
        <v>662</v>
      </c>
      <c r="B93" s="271" t="s">
        <v>504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5" thickBot="1">
      <c r="A94" s="277" t="s">
        <v>662</v>
      </c>
      <c r="B94" s="271" t="s">
        <v>514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5" thickBot="1">
      <c r="A95" s="277" t="s">
        <v>662</v>
      </c>
      <c r="B95" s="271" t="s">
        <v>523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5" thickBot="1">
      <c r="A96" s="277" t="s">
        <v>662</v>
      </c>
      <c r="B96" s="271" t="s">
        <v>532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5" thickBot="1">
      <c r="A97" s="277" t="s">
        <v>662</v>
      </c>
      <c r="B97" s="271" t="s">
        <v>540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5" thickBot="1">
      <c r="A98" s="277" t="s">
        <v>662</v>
      </c>
      <c r="B98" s="271" t="s">
        <v>547</v>
      </c>
      <c r="C98" s="418">
        <v>0.1</v>
      </c>
      <c r="D98" s="418">
        <v>0.1</v>
      </c>
      <c r="E98" s="418">
        <v>9.7000000000000003E-2</v>
      </c>
      <c r="F98" s="423"/>
    </row>
    <row r="99" spans="1:6" ht="15" thickBot="1">
      <c r="A99" s="277" t="s">
        <v>662</v>
      </c>
      <c r="B99" s="271" t="s">
        <v>554</v>
      </c>
      <c r="C99" s="418">
        <v>0.1</v>
      </c>
      <c r="D99" s="418">
        <v>0.1</v>
      </c>
      <c r="E99" s="424"/>
      <c r="F99" s="423"/>
    </row>
    <row r="100" spans="1:6" ht="15" thickBot="1">
      <c r="A100" s="277" t="s">
        <v>662</v>
      </c>
      <c r="B100" s="271" t="s">
        <v>561</v>
      </c>
      <c r="C100" s="418">
        <v>0.09</v>
      </c>
      <c r="D100" s="418">
        <v>8.8999999999999996E-2</v>
      </c>
      <c r="E100" s="424"/>
      <c r="F100" s="423"/>
    </row>
    <row r="101" spans="1:6" ht="15" thickBot="1">
      <c r="A101" s="277" t="s">
        <v>662</v>
      </c>
      <c r="B101" s="271" t="s">
        <v>568</v>
      </c>
      <c r="C101" s="418">
        <v>9.8000000000000004E-2</v>
      </c>
      <c r="D101" s="418">
        <v>9.7000000000000003E-2</v>
      </c>
      <c r="E101" s="424"/>
      <c r="F101" s="423"/>
    </row>
    <row r="102" spans="1:6" ht="24.6" thickBot="1">
      <c r="A102" s="277" t="s">
        <v>662</v>
      </c>
      <c r="B102" s="271" t="s">
        <v>1001</v>
      </c>
      <c r="C102" s="424"/>
      <c r="D102" s="424"/>
      <c r="E102" s="424"/>
      <c r="F102" s="419">
        <v>0.05</v>
      </c>
    </row>
    <row r="103" spans="1:6" ht="24.6" thickBot="1">
      <c r="A103" s="277" t="s">
        <v>662</v>
      </c>
      <c r="B103" s="271" t="s">
        <v>1002</v>
      </c>
      <c r="C103" s="424"/>
      <c r="D103" s="424"/>
      <c r="E103" s="424"/>
      <c r="F103" s="419">
        <v>0.05</v>
      </c>
    </row>
    <row r="104" spans="1:6" ht="15" thickBot="1">
      <c r="A104" s="277" t="s">
        <v>662</v>
      </c>
      <c r="B104" s="271" t="s">
        <v>1003</v>
      </c>
      <c r="C104" s="424"/>
      <c r="D104" s="424"/>
      <c r="E104" s="424"/>
      <c r="F104" s="419">
        <v>0.05</v>
      </c>
    </row>
    <row r="105" spans="1:6" ht="24.6" thickBot="1">
      <c r="A105" s="277" t="s">
        <v>662</v>
      </c>
      <c r="B105" s="271" t="s">
        <v>1004</v>
      </c>
      <c r="C105" s="424"/>
      <c r="D105" s="424"/>
      <c r="E105" s="424"/>
      <c r="F105" s="419">
        <v>0.05</v>
      </c>
    </row>
    <row r="106" spans="1:6" ht="24.6" thickBot="1">
      <c r="A106" s="277" t="s">
        <v>662</v>
      </c>
      <c r="B106" s="271" t="s">
        <v>1005</v>
      </c>
      <c r="C106" s="424"/>
      <c r="D106" s="424"/>
      <c r="E106" s="424"/>
      <c r="F106" s="419">
        <v>0.05</v>
      </c>
    </row>
    <row r="107" spans="1:6" ht="24.6" thickBot="1">
      <c r="A107" s="277" t="s">
        <v>662</v>
      </c>
      <c r="B107" s="271" t="s">
        <v>1006</v>
      </c>
      <c r="C107" s="424"/>
      <c r="D107" s="424"/>
      <c r="E107" s="424"/>
      <c r="F107" s="419">
        <v>0.05</v>
      </c>
    </row>
    <row r="108" spans="1:6" ht="24.6" thickBot="1">
      <c r="A108" s="277" t="s">
        <v>662</v>
      </c>
      <c r="B108" s="271" t="s">
        <v>1007</v>
      </c>
      <c r="C108" s="424"/>
      <c r="D108" s="424"/>
      <c r="E108" s="424"/>
      <c r="F108" s="419">
        <v>0.05</v>
      </c>
    </row>
    <row r="109" spans="1:6" ht="24.6" thickBot="1">
      <c r="A109" s="294" t="s">
        <v>662</v>
      </c>
      <c r="B109" s="287" t="s">
        <v>1008</v>
      </c>
      <c r="C109" s="421"/>
      <c r="D109" s="421"/>
      <c r="E109" s="421"/>
      <c r="F109" s="425">
        <v>0.05</v>
      </c>
    </row>
    <row r="110" spans="1:6" ht="15" thickBot="1">
      <c r="A110" s="277" t="s">
        <v>33</v>
      </c>
      <c r="B110" s="278" t="s">
        <v>1009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5" thickBot="1">
      <c r="A111" s="277" t="s">
        <v>33</v>
      </c>
      <c r="B111" s="271" t="s">
        <v>322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5" thickBot="1">
      <c r="A112" s="277" t="s">
        <v>33</v>
      </c>
      <c r="B112" s="271" t="s">
        <v>335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5" thickBot="1">
      <c r="A113" s="277" t="s">
        <v>33</v>
      </c>
      <c r="B113" s="271" t="s">
        <v>348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5" thickBot="1">
      <c r="A114" s="277" t="s">
        <v>33</v>
      </c>
      <c r="B114" s="271" t="s">
        <v>360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5" thickBot="1">
      <c r="A115" s="277" t="s">
        <v>33</v>
      </c>
      <c r="B115" s="271" t="s">
        <v>372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5" thickBot="1">
      <c r="A116" s="277" t="s">
        <v>33</v>
      </c>
      <c r="B116" s="271" t="s">
        <v>384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5" thickBot="1">
      <c r="A117" s="277" t="s">
        <v>33</v>
      </c>
      <c r="B117" s="271" t="s">
        <v>396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5" thickBot="1">
      <c r="A118" s="277" t="s">
        <v>33</v>
      </c>
      <c r="B118" s="271" t="s">
        <v>409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5" thickBot="1">
      <c r="A119" s="277" t="s">
        <v>33</v>
      </c>
      <c r="B119" s="271" t="s">
        <v>420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5" thickBot="1">
      <c r="A120" s="277" t="s">
        <v>33</v>
      </c>
      <c r="B120" s="271" t="s">
        <v>431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5" thickBot="1">
      <c r="A121" s="277" t="s">
        <v>33</v>
      </c>
      <c r="B121" s="271" t="s">
        <v>442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5" thickBot="1">
      <c r="A122" s="277" t="s">
        <v>33</v>
      </c>
      <c r="B122" s="271" t="s">
        <v>453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5" thickBot="1">
      <c r="A123" s="277" t="s">
        <v>33</v>
      </c>
      <c r="B123" s="271" t="s">
        <v>464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5" thickBot="1">
      <c r="A124" s="277" t="s">
        <v>33</v>
      </c>
      <c r="B124" s="271" t="s">
        <v>475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5" thickBot="1">
      <c r="A125" s="277" t="s">
        <v>33</v>
      </c>
      <c r="B125" s="271" t="s">
        <v>485</v>
      </c>
      <c r="C125" s="418">
        <v>0.13</v>
      </c>
      <c r="D125" s="418">
        <v>0.13</v>
      </c>
      <c r="E125" s="418">
        <v>0.129</v>
      </c>
      <c r="F125" s="423"/>
    </row>
    <row r="126" spans="1:6" ht="15" thickBot="1">
      <c r="A126" s="277" t="s">
        <v>33</v>
      </c>
      <c r="B126" s="271" t="s">
        <v>495</v>
      </c>
      <c r="C126" s="418">
        <v>0.13</v>
      </c>
      <c r="D126" s="418">
        <v>0.13</v>
      </c>
      <c r="E126" s="418">
        <v>0.126</v>
      </c>
      <c r="F126" s="423"/>
    </row>
    <row r="127" spans="1:6" ht="15" thickBot="1">
      <c r="A127" s="277" t="s">
        <v>33</v>
      </c>
      <c r="B127" s="271" t="s">
        <v>505</v>
      </c>
      <c r="C127" s="418">
        <v>0.125</v>
      </c>
      <c r="D127" s="418">
        <v>0.125</v>
      </c>
      <c r="E127" s="418">
        <v>0.121</v>
      </c>
      <c r="F127" s="423"/>
    </row>
    <row r="128" spans="1:6" ht="15" thickBot="1">
      <c r="A128" s="277" t="s">
        <v>33</v>
      </c>
      <c r="B128" s="271" t="s">
        <v>515</v>
      </c>
      <c r="C128" s="418">
        <v>0.12</v>
      </c>
      <c r="D128" s="418">
        <v>0.12</v>
      </c>
      <c r="E128" s="418">
        <v>0.105</v>
      </c>
      <c r="F128" s="423"/>
    </row>
    <row r="129" spans="1:6" ht="15" thickBot="1">
      <c r="A129" s="277" t="s">
        <v>33</v>
      </c>
      <c r="B129" s="271" t="s">
        <v>524</v>
      </c>
      <c r="C129" s="418">
        <v>0.13</v>
      </c>
      <c r="D129" s="418">
        <v>0.13</v>
      </c>
      <c r="E129" s="418">
        <v>0.126</v>
      </c>
      <c r="F129" s="423"/>
    </row>
    <row r="130" spans="1:6" ht="15" thickBot="1">
      <c r="A130" s="277" t="s">
        <v>33</v>
      </c>
      <c r="B130" s="271" t="s">
        <v>533</v>
      </c>
      <c r="C130" s="418">
        <v>0.125</v>
      </c>
      <c r="D130" s="418">
        <v>0.125</v>
      </c>
      <c r="E130" s="418">
        <v>0.122</v>
      </c>
      <c r="F130" s="423"/>
    </row>
    <row r="131" spans="1:6" ht="15" thickBot="1">
      <c r="A131" s="277" t="s">
        <v>33</v>
      </c>
      <c r="B131" s="271" t="s">
        <v>541</v>
      </c>
      <c r="C131" s="418">
        <v>0.127</v>
      </c>
      <c r="D131" s="418">
        <v>0.126</v>
      </c>
      <c r="E131" s="418">
        <v>0.123</v>
      </c>
      <c r="F131" s="423"/>
    </row>
    <row r="132" spans="1:6" ht="15" thickBot="1">
      <c r="A132" s="277" t="s">
        <v>33</v>
      </c>
      <c r="B132" s="271" t="s">
        <v>548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5" thickBot="1">
      <c r="A133" s="277" t="s">
        <v>33</v>
      </c>
      <c r="B133" s="271" t="s">
        <v>555</v>
      </c>
      <c r="C133" s="418">
        <v>0.13</v>
      </c>
      <c r="D133" s="418">
        <v>0.13</v>
      </c>
      <c r="E133" s="418">
        <v>0.129</v>
      </c>
      <c r="F133" s="423"/>
    </row>
    <row r="134" spans="1:6" ht="15" thickBot="1">
      <c r="A134" s="277" t="s">
        <v>33</v>
      </c>
      <c r="B134" s="271" t="s">
        <v>1010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5" thickBot="1">
      <c r="A135" s="277" t="s">
        <v>33</v>
      </c>
      <c r="B135" s="271" t="s">
        <v>569</v>
      </c>
      <c r="C135" s="418">
        <v>0.123</v>
      </c>
      <c r="D135" s="418">
        <v>0.123</v>
      </c>
      <c r="E135" s="418">
        <v>0.11</v>
      </c>
      <c r="F135" s="423"/>
    </row>
    <row r="136" spans="1:6" ht="15" thickBot="1">
      <c r="A136" s="277" t="s">
        <v>33</v>
      </c>
      <c r="B136" s="271" t="s">
        <v>576</v>
      </c>
      <c r="C136" s="418">
        <v>0.13</v>
      </c>
      <c r="D136" s="418">
        <v>0.13</v>
      </c>
      <c r="E136" s="418">
        <v>0.125</v>
      </c>
      <c r="F136" s="423"/>
    </row>
    <row r="137" spans="1:6" ht="15" thickBot="1">
      <c r="A137" s="277" t="s">
        <v>33</v>
      </c>
      <c r="B137" s="271" t="s">
        <v>583</v>
      </c>
      <c r="C137" s="418">
        <v>0.121</v>
      </c>
      <c r="D137" s="418">
        <v>0.122</v>
      </c>
      <c r="E137" s="418">
        <v>0.115</v>
      </c>
      <c r="F137" s="423"/>
    </row>
    <row r="138" spans="1:6" ht="15" thickBot="1">
      <c r="A138" s="277" t="s">
        <v>33</v>
      </c>
      <c r="B138" s="271" t="s">
        <v>1011</v>
      </c>
      <c r="C138" s="418">
        <v>0.105</v>
      </c>
      <c r="D138" s="418">
        <v>0.125</v>
      </c>
      <c r="E138" s="418">
        <v>0.112</v>
      </c>
      <c r="F138" s="423"/>
    </row>
    <row r="139" spans="1:6" ht="15" thickBot="1">
      <c r="A139" s="277" t="s">
        <v>33</v>
      </c>
      <c r="B139" s="271" t="s">
        <v>1012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5" thickBot="1">
      <c r="A140" s="277" t="s">
        <v>33</v>
      </c>
      <c r="B140" s="271" t="s">
        <v>1013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5" thickBot="1">
      <c r="A141" s="277" t="s">
        <v>33</v>
      </c>
      <c r="B141" s="271" t="s">
        <v>603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5" thickBot="1">
      <c r="A142" s="277" t="s">
        <v>33</v>
      </c>
      <c r="B142" s="271" t="s">
        <v>608</v>
      </c>
      <c r="C142" s="418">
        <v>0.125</v>
      </c>
      <c r="D142" s="418">
        <v>0.125</v>
      </c>
      <c r="E142" s="418">
        <v>0.115</v>
      </c>
      <c r="F142" s="423"/>
    </row>
    <row r="143" spans="1:6" ht="15" thickBot="1">
      <c r="A143" s="277" t="s">
        <v>33</v>
      </c>
      <c r="B143" s="271" t="s">
        <v>613</v>
      </c>
      <c r="C143" s="418">
        <v>0.121</v>
      </c>
      <c r="D143" s="418">
        <v>0.121</v>
      </c>
      <c r="E143" s="418">
        <v>0.108</v>
      </c>
      <c r="F143" s="423"/>
    </row>
    <row r="144" spans="1:6" ht="15" thickBot="1">
      <c r="A144" s="277" t="s">
        <v>33</v>
      </c>
      <c r="B144" s="426" t="s">
        <v>1014</v>
      </c>
      <c r="C144" s="427">
        <v>0.126</v>
      </c>
      <c r="D144" s="427">
        <v>0.126</v>
      </c>
      <c r="E144" s="427">
        <v>0.121</v>
      </c>
      <c r="F144" s="423"/>
    </row>
    <row r="145" spans="1:6" ht="15" thickBot="1">
      <c r="A145" s="294" t="s">
        <v>33</v>
      </c>
      <c r="B145" s="428" t="s">
        <v>1015</v>
      </c>
      <c r="C145" s="429"/>
      <c r="D145" s="429"/>
      <c r="E145" s="429"/>
      <c r="F145" s="430">
        <v>0.05</v>
      </c>
    </row>
    <row r="146" spans="1:6" ht="24.6" thickBot="1">
      <c r="A146" s="431" t="s">
        <v>33</v>
      </c>
      <c r="B146" s="285" t="s">
        <v>1016</v>
      </c>
      <c r="C146" s="424"/>
      <c r="D146" s="424"/>
      <c r="E146" s="424"/>
      <c r="F146" s="432">
        <v>0.05</v>
      </c>
    </row>
    <row r="147" spans="1:6" ht="24.6" thickBot="1">
      <c r="A147" s="277" t="s">
        <v>33</v>
      </c>
      <c r="B147" s="271" t="s">
        <v>1017</v>
      </c>
      <c r="C147" s="424"/>
      <c r="D147" s="424"/>
      <c r="E147" s="424"/>
      <c r="F147" s="419">
        <v>0.05</v>
      </c>
    </row>
    <row r="148" spans="1:6" ht="24.6" thickBot="1">
      <c r="A148" s="277" t="s">
        <v>33</v>
      </c>
      <c r="B148" s="271" t="s">
        <v>1018</v>
      </c>
      <c r="C148" s="424"/>
      <c r="D148" s="424"/>
      <c r="E148" s="424"/>
      <c r="F148" s="419">
        <v>0.05</v>
      </c>
    </row>
    <row r="149" spans="1:6" ht="24.6" thickBot="1">
      <c r="A149" s="277" t="s">
        <v>33</v>
      </c>
      <c r="B149" s="271" t="s">
        <v>1019</v>
      </c>
      <c r="C149" s="424"/>
      <c r="D149" s="424"/>
      <c r="E149" s="424"/>
      <c r="F149" s="419">
        <v>0.05</v>
      </c>
    </row>
    <row r="150" spans="1:6" ht="24.6" thickBot="1">
      <c r="A150" s="277" t="s">
        <v>33</v>
      </c>
      <c r="B150" s="271" t="s">
        <v>1020</v>
      </c>
      <c r="C150" s="424"/>
      <c r="D150" s="424"/>
      <c r="E150" s="424"/>
      <c r="F150" s="419">
        <v>0.05</v>
      </c>
    </row>
    <row r="151" spans="1:6" ht="24.6" thickBot="1">
      <c r="A151" s="277" t="s">
        <v>33</v>
      </c>
      <c r="B151" s="271" t="s">
        <v>1021</v>
      </c>
      <c r="C151" s="424"/>
      <c r="D151" s="424"/>
      <c r="E151" s="424"/>
      <c r="F151" s="419">
        <v>0.05</v>
      </c>
    </row>
    <row r="152" spans="1:6" ht="24.6" thickBot="1">
      <c r="A152" s="277" t="s">
        <v>33</v>
      </c>
      <c r="B152" s="271" t="s">
        <v>646</v>
      </c>
      <c r="C152" s="424"/>
      <c r="D152" s="424"/>
      <c r="E152" s="424"/>
      <c r="F152" s="419">
        <v>0.05</v>
      </c>
    </row>
    <row r="153" spans="1:6" ht="15" thickBot="1">
      <c r="A153" s="277" t="s">
        <v>33</v>
      </c>
      <c r="B153" s="271" t="s">
        <v>1022</v>
      </c>
      <c r="C153" s="424"/>
      <c r="D153" s="424"/>
      <c r="E153" s="424"/>
      <c r="F153" s="419">
        <v>0.05</v>
      </c>
    </row>
    <row r="154" spans="1:6" ht="15" thickBot="1">
      <c r="A154" s="277" t="s">
        <v>33</v>
      </c>
      <c r="B154" s="271" t="s">
        <v>1023</v>
      </c>
      <c r="C154" s="424"/>
      <c r="D154" s="424"/>
      <c r="E154" s="424"/>
      <c r="F154" s="419">
        <v>0.05</v>
      </c>
    </row>
    <row r="155" spans="1:6" ht="24.6" thickBot="1">
      <c r="A155" s="277" t="s">
        <v>33</v>
      </c>
      <c r="B155" s="271" t="s">
        <v>1024</v>
      </c>
      <c r="C155" s="424"/>
      <c r="D155" s="424"/>
      <c r="E155" s="424"/>
      <c r="F155" s="419">
        <v>0.05</v>
      </c>
    </row>
    <row r="156" spans="1:6" ht="24.6" thickBot="1">
      <c r="A156" s="277" t="s">
        <v>33</v>
      </c>
      <c r="B156" s="271" t="s">
        <v>1025</v>
      </c>
      <c r="C156" s="424"/>
      <c r="D156" s="424"/>
      <c r="E156" s="424"/>
      <c r="F156" s="419">
        <v>0.05</v>
      </c>
    </row>
    <row r="157" spans="1:6" ht="24.6" thickBot="1">
      <c r="A157" s="294" t="s">
        <v>33</v>
      </c>
      <c r="B157" s="287" t="s">
        <v>1026</v>
      </c>
      <c r="C157" s="421"/>
      <c r="D157" s="421"/>
      <c r="E157" s="421"/>
      <c r="F157" s="425">
        <v>0.05</v>
      </c>
    </row>
    <row r="158" spans="1:6" ht="15" thickBot="1">
      <c r="A158" s="277" t="s">
        <v>665</v>
      </c>
      <c r="B158" s="278" t="s">
        <v>1027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5" thickBot="1">
      <c r="A159" s="277" t="s">
        <v>665</v>
      </c>
      <c r="B159" s="271" t="s">
        <v>323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5" thickBot="1">
      <c r="A160" s="277" t="s">
        <v>665</v>
      </c>
      <c r="B160" s="271" t="s">
        <v>336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5" thickBot="1">
      <c r="A161" s="277" t="s">
        <v>665</v>
      </c>
      <c r="B161" s="271" t="s">
        <v>349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5" thickBot="1">
      <c r="A162" s="277" t="s">
        <v>665</v>
      </c>
      <c r="B162" s="271" t="s">
        <v>361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5" thickBot="1">
      <c r="A163" s="277" t="s">
        <v>665</v>
      </c>
      <c r="B163" s="271" t="s">
        <v>373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5" thickBot="1">
      <c r="A164" s="277" t="s">
        <v>665</v>
      </c>
      <c r="B164" s="271" t="s">
        <v>385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5" thickBot="1">
      <c r="A165" s="277" t="s">
        <v>665</v>
      </c>
      <c r="B165" s="271" t="s">
        <v>397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5" thickBot="1">
      <c r="A166" s="277" t="s">
        <v>665</v>
      </c>
      <c r="B166" s="271" t="s">
        <v>410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5" thickBot="1">
      <c r="A167" s="277" t="s">
        <v>665</v>
      </c>
      <c r="B167" s="271" t="s">
        <v>421</v>
      </c>
      <c r="C167" s="418">
        <v>0.125</v>
      </c>
      <c r="D167" s="418">
        <v>0.125</v>
      </c>
      <c r="E167" s="418">
        <v>0.121</v>
      </c>
      <c r="F167" s="423"/>
    </row>
    <row r="168" spans="1:6" ht="15" thickBot="1">
      <c r="A168" s="277" t="s">
        <v>665</v>
      </c>
      <c r="B168" s="271" t="s">
        <v>432</v>
      </c>
      <c r="C168" s="418">
        <v>0.13</v>
      </c>
      <c r="D168" s="418">
        <v>0.13</v>
      </c>
      <c r="E168" s="418">
        <v>0.126</v>
      </c>
      <c r="F168" s="423"/>
    </row>
    <row r="169" spans="1:6" ht="15" thickBot="1">
      <c r="A169" s="277" t="s">
        <v>665</v>
      </c>
      <c r="B169" s="271" t="s">
        <v>443</v>
      </c>
      <c r="C169" s="418">
        <v>0.128</v>
      </c>
      <c r="D169" s="418">
        <v>0.129</v>
      </c>
      <c r="E169" s="418">
        <v>0.13</v>
      </c>
      <c r="F169" s="423"/>
    </row>
    <row r="170" spans="1:6" ht="15" thickBot="1">
      <c r="A170" s="277" t="s">
        <v>665</v>
      </c>
      <c r="B170" s="271" t="s">
        <v>454</v>
      </c>
      <c r="C170" s="418">
        <v>0.14099999999999999</v>
      </c>
      <c r="D170" s="418">
        <v>0.13</v>
      </c>
      <c r="E170" s="418">
        <v>0.125</v>
      </c>
      <c r="F170" s="423"/>
    </row>
    <row r="171" spans="1:6" ht="15" thickBot="1">
      <c r="A171" s="277" t="s">
        <v>665</v>
      </c>
      <c r="B171" s="271" t="s">
        <v>1028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5" thickBot="1">
      <c r="A172" s="277" t="s">
        <v>665</v>
      </c>
      <c r="B172" s="271" t="s">
        <v>1029</v>
      </c>
      <c r="C172" s="418">
        <v>0.13</v>
      </c>
      <c r="D172" s="418">
        <v>0.13</v>
      </c>
      <c r="E172" s="418">
        <v>0.13</v>
      </c>
      <c r="F172" s="423"/>
    </row>
    <row r="173" spans="1:6" ht="15" thickBot="1">
      <c r="A173" s="277" t="s">
        <v>665</v>
      </c>
      <c r="B173" s="271" t="s">
        <v>486</v>
      </c>
      <c r="C173" s="418">
        <v>0.13</v>
      </c>
      <c r="D173" s="418">
        <v>0.13</v>
      </c>
      <c r="E173" s="418">
        <v>0.13</v>
      </c>
      <c r="F173" s="423"/>
    </row>
    <row r="174" spans="1:6" ht="15" thickBot="1">
      <c r="A174" s="277" t="s">
        <v>665</v>
      </c>
      <c r="B174" s="271" t="s">
        <v>1030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5" thickBot="1">
      <c r="A175" s="277" t="s">
        <v>665</v>
      </c>
      <c r="B175" s="271" t="s">
        <v>1031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5" thickBot="1">
      <c r="A176" s="277" t="s">
        <v>665</v>
      </c>
      <c r="B176" s="271" t="s">
        <v>516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5" thickBot="1">
      <c r="A177" s="277" t="s">
        <v>665</v>
      </c>
      <c r="B177" s="271" t="s">
        <v>1032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5" thickBot="1">
      <c r="A178" s="277" t="s">
        <v>665</v>
      </c>
      <c r="B178" s="271" t="s">
        <v>534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5" thickBot="1">
      <c r="A179" s="277" t="s">
        <v>665</v>
      </c>
      <c r="B179" s="271" t="s">
        <v>542</v>
      </c>
      <c r="C179" s="418">
        <v>0.13</v>
      </c>
      <c r="D179" s="418">
        <v>0.13</v>
      </c>
      <c r="E179" s="418">
        <v>0.13</v>
      </c>
      <c r="F179" s="423"/>
    </row>
    <row r="180" spans="1:6" ht="15" thickBot="1">
      <c r="A180" s="277" t="s">
        <v>665</v>
      </c>
      <c r="B180" s="271" t="s">
        <v>1033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5" thickBot="1">
      <c r="A181" s="277" t="s">
        <v>665</v>
      </c>
      <c r="B181" s="271" t="s">
        <v>556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5" thickBot="1">
      <c r="A182" s="277" t="s">
        <v>665</v>
      </c>
      <c r="B182" s="271" t="s">
        <v>563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5" thickBot="1">
      <c r="A183" s="277" t="s">
        <v>665</v>
      </c>
      <c r="B183" s="271" t="s">
        <v>570</v>
      </c>
      <c r="C183" s="418">
        <v>0.127</v>
      </c>
      <c r="D183" s="418">
        <v>0.127</v>
      </c>
      <c r="E183" s="418">
        <v>0.128</v>
      </c>
      <c r="F183" s="423"/>
    </row>
    <row r="184" spans="1:6" ht="15" thickBot="1">
      <c r="A184" s="277" t="s">
        <v>665</v>
      </c>
      <c r="B184" s="271" t="s">
        <v>577</v>
      </c>
      <c r="C184" s="418">
        <v>0.125</v>
      </c>
      <c r="D184" s="418">
        <v>0.125</v>
      </c>
      <c r="E184" s="418">
        <v>0.127</v>
      </c>
      <c r="F184" s="423"/>
    </row>
    <row r="185" spans="1:6" ht="15" thickBot="1">
      <c r="A185" s="277" t="s">
        <v>665</v>
      </c>
      <c r="B185" s="271" t="s">
        <v>1034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6" thickBot="1">
      <c r="A186" s="277" t="s">
        <v>665</v>
      </c>
      <c r="B186" s="271" t="s">
        <v>1035</v>
      </c>
      <c r="C186" s="424"/>
      <c r="D186" s="424"/>
      <c r="E186" s="424"/>
      <c r="F186" s="419">
        <v>0.05</v>
      </c>
    </row>
    <row r="187" spans="1:6" ht="15" thickBot="1">
      <c r="A187" s="277" t="s">
        <v>665</v>
      </c>
      <c r="B187" s="271" t="s">
        <v>1036</v>
      </c>
      <c r="C187" s="424"/>
      <c r="D187" s="424"/>
      <c r="E187" s="424"/>
      <c r="F187" s="419">
        <v>0.05</v>
      </c>
    </row>
    <row r="188" spans="1:6" ht="24.6" thickBot="1">
      <c r="A188" s="277" t="s">
        <v>665</v>
      </c>
      <c r="B188" s="271" t="s">
        <v>1037</v>
      </c>
      <c r="C188" s="424"/>
      <c r="D188" s="424"/>
      <c r="E188" s="424"/>
      <c r="F188" s="419">
        <v>0.05</v>
      </c>
    </row>
    <row r="189" spans="1:6" ht="24.6" thickBot="1">
      <c r="A189" s="277" t="s">
        <v>665</v>
      </c>
      <c r="B189" s="271" t="s">
        <v>1038</v>
      </c>
      <c r="C189" s="424"/>
      <c r="D189" s="424"/>
      <c r="E189" s="424"/>
      <c r="F189" s="419">
        <v>0.05</v>
      </c>
    </row>
    <row r="190" spans="1:6" ht="24.6" thickBot="1">
      <c r="A190" s="277" t="s">
        <v>665</v>
      </c>
      <c r="B190" s="271" t="s">
        <v>1039</v>
      </c>
      <c r="C190" s="424"/>
      <c r="D190" s="424"/>
      <c r="E190" s="424"/>
      <c r="F190" s="419">
        <v>0.05</v>
      </c>
    </row>
    <row r="191" spans="1:6" ht="24.6" thickBot="1">
      <c r="A191" s="277" t="s">
        <v>665</v>
      </c>
      <c r="B191" s="271" t="s">
        <v>1040</v>
      </c>
      <c r="C191" s="424"/>
      <c r="D191" s="424"/>
      <c r="E191" s="424"/>
      <c r="F191" s="419">
        <v>0.05</v>
      </c>
    </row>
    <row r="192" spans="1:6" ht="24.6" thickBot="1">
      <c r="A192" s="277" t="s">
        <v>665</v>
      </c>
      <c r="B192" s="271" t="s">
        <v>1041</v>
      </c>
      <c r="C192" s="424"/>
      <c r="D192" s="424"/>
      <c r="E192" s="424"/>
      <c r="F192" s="419">
        <v>0.05</v>
      </c>
    </row>
    <row r="193" spans="1:6" ht="24.6" thickBot="1">
      <c r="A193" s="277" t="s">
        <v>665</v>
      </c>
      <c r="B193" s="271" t="s">
        <v>1042</v>
      </c>
      <c r="C193" s="424"/>
      <c r="D193" s="424"/>
      <c r="E193" s="424"/>
      <c r="F193" s="419">
        <v>0.05</v>
      </c>
    </row>
    <row r="194" spans="1:6" ht="24.6" thickBot="1">
      <c r="A194" s="277" t="s">
        <v>665</v>
      </c>
      <c r="B194" s="271" t="s">
        <v>1043</v>
      </c>
      <c r="C194" s="424"/>
      <c r="D194" s="424"/>
      <c r="E194" s="424"/>
      <c r="F194" s="419">
        <v>0.05</v>
      </c>
    </row>
    <row r="195" spans="1:6" ht="15" thickBot="1">
      <c r="A195" s="277" t="s">
        <v>665</v>
      </c>
      <c r="B195" s="271" t="s">
        <v>1044</v>
      </c>
      <c r="C195" s="424"/>
      <c r="D195" s="424"/>
      <c r="E195" s="424"/>
      <c r="F195" s="419">
        <v>0.05</v>
      </c>
    </row>
    <row r="196" spans="1:6" ht="24.6" thickBot="1">
      <c r="A196" s="277" t="s">
        <v>665</v>
      </c>
      <c r="B196" s="271" t="s">
        <v>1045</v>
      </c>
      <c r="C196" s="424"/>
      <c r="D196" s="424"/>
      <c r="E196" s="424"/>
      <c r="F196" s="419">
        <v>0.05</v>
      </c>
    </row>
    <row r="197" spans="1:6" ht="24.6" thickBot="1">
      <c r="A197" s="277" t="s">
        <v>665</v>
      </c>
      <c r="B197" s="271" t="s">
        <v>1046</v>
      </c>
      <c r="C197" s="424"/>
      <c r="D197" s="424"/>
      <c r="E197" s="424"/>
      <c r="F197" s="419">
        <v>0.05</v>
      </c>
    </row>
    <row r="198" spans="1:6" ht="24.6" thickBot="1">
      <c r="A198" s="277" t="s">
        <v>665</v>
      </c>
      <c r="B198" s="271" t="s">
        <v>1047</v>
      </c>
      <c r="C198" s="424"/>
      <c r="D198" s="424"/>
      <c r="E198" s="424"/>
      <c r="F198" s="419">
        <v>0.05</v>
      </c>
    </row>
    <row r="199" spans="1:6" ht="24.6" thickBot="1">
      <c r="A199" s="277" t="s">
        <v>665</v>
      </c>
      <c r="B199" s="271" t="s">
        <v>1048</v>
      </c>
      <c r="C199" s="424"/>
      <c r="D199" s="424"/>
      <c r="E199" s="424"/>
      <c r="F199" s="419">
        <v>0.05</v>
      </c>
    </row>
    <row r="200" spans="1:6" ht="24.6" thickBot="1">
      <c r="A200" s="277" t="s">
        <v>665</v>
      </c>
      <c r="B200" s="271" t="s">
        <v>1049</v>
      </c>
      <c r="C200" s="424"/>
      <c r="D200" s="424"/>
      <c r="E200" s="424"/>
      <c r="F200" s="419">
        <v>0.05</v>
      </c>
    </row>
    <row r="201" spans="1:6" ht="24.6" thickBot="1">
      <c r="A201" s="277" t="s">
        <v>665</v>
      </c>
      <c r="B201" s="271" t="s">
        <v>1050</v>
      </c>
      <c r="C201" s="424"/>
      <c r="D201" s="424"/>
      <c r="E201" s="424"/>
      <c r="F201" s="419">
        <v>0.05</v>
      </c>
    </row>
    <row r="202" spans="1:6" ht="24.6" thickBot="1">
      <c r="A202" s="277" t="s">
        <v>665</v>
      </c>
      <c r="B202" s="271" t="s">
        <v>1051</v>
      </c>
      <c r="C202" s="424"/>
      <c r="D202" s="424"/>
      <c r="E202" s="424"/>
      <c r="F202" s="419">
        <v>0.05</v>
      </c>
    </row>
    <row r="203" spans="1:6" ht="24.6" thickBot="1">
      <c r="A203" s="277" t="s">
        <v>665</v>
      </c>
      <c r="B203" s="271" t="s">
        <v>1052</v>
      </c>
      <c r="C203" s="424"/>
      <c r="D203" s="424"/>
      <c r="E203" s="424"/>
      <c r="F203" s="419">
        <v>0.05</v>
      </c>
    </row>
    <row r="204" spans="1:6" ht="15" thickBot="1">
      <c r="A204" s="277" t="s">
        <v>665</v>
      </c>
      <c r="B204" s="271" t="s">
        <v>1053</v>
      </c>
      <c r="C204" s="424"/>
      <c r="D204" s="424"/>
      <c r="E204" s="424"/>
      <c r="F204" s="419">
        <v>0.05</v>
      </c>
    </row>
    <row r="205" spans="1:6" ht="15" thickBot="1">
      <c r="A205" s="294" t="s">
        <v>665</v>
      </c>
      <c r="B205" s="287" t="s">
        <v>1054</v>
      </c>
      <c r="C205" s="421"/>
      <c r="D205" s="421"/>
      <c r="E205" s="421"/>
      <c r="F205" s="425">
        <v>0.05</v>
      </c>
    </row>
    <row r="206" spans="1:6" ht="15" thickBot="1">
      <c r="A206" s="277" t="s">
        <v>667</v>
      </c>
      <c r="B206" s="278" t="s">
        <v>1055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5" thickBot="1">
      <c r="A207" s="277" t="s">
        <v>667</v>
      </c>
      <c r="B207" s="271" t="s">
        <v>324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5" thickBot="1">
      <c r="A208" s="277" t="s">
        <v>667</v>
      </c>
      <c r="B208" s="271" t="s">
        <v>337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5" thickBot="1">
      <c r="A209" s="277" t="s">
        <v>667</v>
      </c>
      <c r="B209" s="271" t="s">
        <v>350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5" thickBot="1">
      <c r="A210" s="277" t="s">
        <v>667</v>
      </c>
      <c r="B210" s="271" t="s">
        <v>1056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5" thickBot="1">
      <c r="A211" s="277" t="s">
        <v>667</v>
      </c>
      <c r="B211" s="271" t="s">
        <v>1057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5" thickBot="1">
      <c r="A212" s="277" t="s">
        <v>667</v>
      </c>
      <c r="B212" s="271" t="s">
        <v>1058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5" thickBot="1">
      <c r="A213" s="277" t="s">
        <v>667</v>
      </c>
      <c r="B213" s="271" t="s">
        <v>398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5" thickBot="1">
      <c r="A214" s="277" t="s">
        <v>667</v>
      </c>
      <c r="B214" s="271" t="s">
        <v>411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5" thickBot="1">
      <c r="A215" s="277" t="s">
        <v>667</v>
      </c>
      <c r="B215" s="271" t="s">
        <v>1059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5" thickBot="1">
      <c r="A216" s="277" t="s">
        <v>667</v>
      </c>
      <c r="B216" s="271" t="s">
        <v>433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5" thickBot="1">
      <c r="A217" s="277" t="s">
        <v>667</v>
      </c>
      <c r="B217" s="271" t="s">
        <v>444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5" thickBot="1">
      <c r="A218" s="277" t="s">
        <v>667</v>
      </c>
      <c r="B218" s="271" t="s">
        <v>1060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5" thickBot="1">
      <c r="A219" s="277" t="s">
        <v>667</v>
      </c>
      <c r="B219" s="271" t="s">
        <v>466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5" thickBot="1">
      <c r="A220" s="277" t="s">
        <v>667</v>
      </c>
      <c r="B220" s="271" t="s">
        <v>1061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5" thickBot="1">
      <c r="A221" s="277" t="s">
        <v>667</v>
      </c>
      <c r="B221" s="271" t="s">
        <v>487</v>
      </c>
      <c r="C221" s="418"/>
      <c r="D221" s="424"/>
      <c r="E221" s="424"/>
      <c r="F221" s="419">
        <v>0.14799999999999999</v>
      </c>
    </row>
    <row r="222" spans="1:6" ht="15" thickBot="1">
      <c r="A222" s="277" t="s">
        <v>667</v>
      </c>
      <c r="B222" s="271" t="s">
        <v>497</v>
      </c>
      <c r="C222" s="418"/>
      <c r="D222" s="424"/>
      <c r="E222" s="424"/>
      <c r="F222" s="419">
        <v>0.1</v>
      </c>
    </row>
    <row r="223" spans="1:6" ht="15" thickBot="1">
      <c r="A223" s="277" t="s">
        <v>667</v>
      </c>
      <c r="B223" s="271" t="s">
        <v>507</v>
      </c>
      <c r="C223" s="418"/>
      <c r="D223" s="424"/>
      <c r="E223" s="424"/>
      <c r="F223" s="419">
        <v>0.15</v>
      </c>
    </row>
    <row r="224" spans="1:6" ht="15" thickBot="1">
      <c r="A224" s="277" t="s">
        <v>667</v>
      </c>
      <c r="B224" s="271" t="s">
        <v>517</v>
      </c>
      <c r="C224" s="418"/>
      <c r="D224" s="424"/>
      <c r="E224" s="424"/>
      <c r="F224" s="419">
        <v>0.15</v>
      </c>
    </row>
    <row r="225" spans="1:6" ht="15" thickBot="1">
      <c r="A225" s="277" t="s">
        <v>667</v>
      </c>
      <c r="B225" s="271" t="s">
        <v>1062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5" thickBot="1">
      <c r="A226" s="277" t="s">
        <v>667</v>
      </c>
      <c r="B226" s="271" t="s">
        <v>535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5" thickBot="1">
      <c r="A227" s="277" t="s">
        <v>667</v>
      </c>
      <c r="B227" s="271" t="s">
        <v>1063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5" thickBot="1">
      <c r="A228" s="277" t="s">
        <v>667</v>
      </c>
      <c r="B228" s="271" t="s">
        <v>550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5" thickBot="1">
      <c r="A229" s="277" t="s">
        <v>667</v>
      </c>
      <c r="B229" s="271" t="s">
        <v>557</v>
      </c>
      <c r="C229" s="418">
        <v>0.15</v>
      </c>
      <c r="D229" s="418">
        <v>0.15</v>
      </c>
      <c r="E229" s="418">
        <v>0.15</v>
      </c>
      <c r="F229" s="423"/>
    </row>
    <row r="230" spans="1:6" ht="15" thickBot="1">
      <c r="A230" s="277" t="s">
        <v>667</v>
      </c>
      <c r="B230" s="271" t="s">
        <v>564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5" thickBot="1">
      <c r="A231" s="277" t="s">
        <v>667</v>
      </c>
      <c r="B231" s="271" t="s">
        <v>1064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5" thickBot="1">
      <c r="A232" s="277" t="s">
        <v>667</v>
      </c>
      <c r="B232" s="271" t="s">
        <v>1065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5" thickBot="1">
      <c r="A233" s="277" t="s">
        <v>667</v>
      </c>
      <c r="B233" s="271" t="s">
        <v>1066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5" thickBot="1">
      <c r="A234" s="277" t="s">
        <v>667</v>
      </c>
      <c r="B234" s="271" t="s">
        <v>1067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5" thickBot="1">
      <c r="A235" s="277" t="s">
        <v>667</v>
      </c>
      <c r="B235" s="271" t="s">
        <v>1068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5" thickBot="1">
      <c r="A236" s="277" t="s">
        <v>667</v>
      </c>
      <c r="B236" s="271" t="s">
        <v>600</v>
      </c>
      <c r="C236" s="424"/>
      <c r="D236" s="424"/>
      <c r="E236" s="424"/>
      <c r="F236" s="419">
        <v>0.14299999999999999</v>
      </c>
    </row>
    <row r="237" spans="1:6" ht="24.6" thickBot="1">
      <c r="A237" s="277" t="s">
        <v>667</v>
      </c>
      <c r="B237" s="271" t="s">
        <v>1069</v>
      </c>
      <c r="C237" s="424"/>
      <c r="D237" s="424"/>
      <c r="E237" s="424"/>
      <c r="F237" s="419">
        <v>0.05</v>
      </c>
    </row>
    <row r="238" spans="1:6" ht="24.6" thickBot="1">
      <c r="A238" s="277" t="s">
        <v>667</v>
      </c>
      <c r="B238" s="271" t="s">
        <v>1070</v>
      </c>
      <c r="C238" s="424"/>
      <c r="D238" s="424"/>
      <c r="E238" s="424"/>
      <c r="F238" s="419">
        <v>0.05</v>
      </c>
    </row>
    <row r="239" spans="1:6" ht="24.6" thickBot="1">
      <c r="A239" s="277" t="s">
        <v>667</v>
      </c>
      <c r="B239" s="271" t="s">
        <v>1071</v>
      </c>
      <c r="C239" s="424"/>
      <c r="D239" s="424"/>
      <c r="E239" s="424"/>
      <c r="F239" s="419">
        <v>0.05</v>
      </c>
    </row>
    <row r="240" spans="1:6" ht="24.6" thickBot="1">
      <c r="A240" s="277" t="s">
        <v>667</v>
      </c>
      <c r="B240" s="271" t="s">
        <v>1072</v>
      </c>
      <c r="C240" s="424"/>
      <c r="D240" s="424"/>
      <c r="E240" s="424"/>
      <c r="F240" s="419">
        <v>0.05</v>
      </c>
    </row>
    <row r="241" spans="1:6" ht="24.6" thickBot="1">
      <c r="A241" s="277" t="s">
        <v>667</v>
      </c>
      <c r="B241" s="271" t="s">
        <v>1073</v>
      </c>
      <c r="C241" s="424"/>
      <c r="D241" s="424"/>
      <c r="E241" s="424"/>
      <c r="F241" s="419">
        <v>0.05</v>
      </c>
    </row>
    <row r="242" spans="1:6" ht="24.6" thickBot="1">
      <c r="A242" s="277" t="s">
        <v>667</v>
      </c>
      <c r="B242" s="271" t="s">
        <v>1074</v>
      </c>
      <c r="C242" s="424"/>
      <c r="D242" s="424"/>
      <c r="E242" s="424"/>
      <c r="F242" s="419">
        <v>0.05</v>
      </c>
    </row>
    <row r="243" spans="1:6" ht="24.6" thickBot="1">
      <c r="A243" s="277" t="s">
        <v>667</v>
      </c>
      <c r="B243" s="271" t="s">
        <v>1075</v>
      </c>
      <c r="C243" s="424"/>
      <c r="D243" s="424"/>
      <c r="E243" s="424"/>
      <c r="F243" s="419">
        <v>0.05</v>
      </c>
    </row>
    <row r="244" spans="1:6" ht="24.6" thickBot="1">
      <c r="A244" s="294" t="s">
        <v>667</v>
      </c>
      <c r="B244" s="287" t="s">
        <v>1076</v>
      </c>
      <c r="C244" s="421"/>
      <c r="D244" s="421"/>
      <c r="E244" s="421"/>
      <c r="F244" s="425">
        <v>0.05</v>
      </c>
    </row>
    <row r="245" spans="1:6" ht="15" thickBot="1">
      <c r="A245" s="277" t="s">
        <v>669</v>
      </c>
      <c r="B245" s="278" t="s">
        <v>1077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5" thickBot="1">
      <c r="A246" s="277" t="s">
        <v>669</v>
      </c>
      <c r="B246" s="271" t="s">
        <v>325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5" thickBot="1">
      <c r="A247" s="277" t="s">
        <v>669</v>
      </c>
      <c r="B247" s="271" t="s">
        <v>1078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5" thickBot="1">
      <c r="A248" s="277" t="s">
        <v>669</v>
      </c>
      <c r="B248" s="271" t="s">
        <v>1079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5" thickBot="1">
      <c r="A249" s="277" t="s">
        <v>669</v>
      </c>
      <c r="B249" s="271" t="s">
        <v>1080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5" thickBot="1">
      <c r="A250" s="277" t="s">
        <v>669</v>
      </c>
      <c r="B250" s="271" t="s">
        <v>1081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5" thickBot="1">
      <c r="A251" s="277" t="s">
        <v>669</v>
      </c>
      <c r="B251" s="271" t="s">
        <v>387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5" thickBot="1">
      <c r="A252" s="277" t="s">
        <v>669</v>
      </c>
      <c r="B252" s="271" t="s">
        <v>399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5" thickBot="1">
      <c r="A253" s="277" t="s">
        <v>669</v>
      </c>
      <c r="B253" s="271" t="s">
        <v>412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5" thickBot="1">
      <c r="A254" s="277" t="s">
        <v>669</v>
      </c>
      <c r="B254" s="271" t="s">
        <v>423</v>
      </c>
      <c r="C254" s="424"/>
      <c r="D254" s="424"/>
      <c r="E254" s="424"/>
      <c r="F254" s="419">
        <v>0.15</v>
      </c>
    </row>
    <row r="255" spans="1:6" ht="15" thickBot="1">
      <c r="A255" s="277" t="s">
        <v>669</v>
      </c>
      <c r="B255" s="271" t="s">
        <v>434</v>
      </c>
      <c r="C255" s="424"/>
      <c r="D255" s="424"/>
      <c r="E255" s="424"/>
      <c r="F255" s="419">
        <v>0.14299999999999999</v>
      </c>
    </row>
    <row r="256" spans="1:6" ht="15" thickBot="1">
      <c r="A256" s="277" t="s">
        <v>669</v>
      </c>
      <c r="B256" s="271" t="s">
        <v>1082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5" thickBot="1">
      <c r="A257" s="277" t="s">
        <v>669</v>
      </c>
      <c r="B257" s="271" t="s">
        <v>456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5" thickBot="1">
      <c r="A258" s="277" t="s">
        <v>669</v>
      </c>
      <c r="B258" s="271" t="s">
        <v>467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5" thickBot="1">
      <c r="A259" s="277" t="s">
        <v>669</v>
      </c>
      <c r="B259" s="271" t="s">
        <v>1083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5" thickBot="1">
      <c r="A260" s="277" t="s">
        <v>669</v>
      </c>
      <c r="B260" s="271" t="s">
        <v>488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5" thickBot="1">
      <c r="A261" s="277" t="s">
        <v>669</v>
      </c>
      <c r="B261" s="271" t="s">
        <v>498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5" thickBot="1">
      <c r="A262" s="277" t="s">
        <v>669</v>
      </c>
      <c r="B262" s="271" t="s">
        <v>508</v>
      </c>
      <c r="C262" s="418">
        <v>0.15</v>
      </c>
      <c r="D262" s="418">
        <v>0.15</v>
      </c>
      <c r="E262" s="418">
        <v>0.15</v>
      </c>
      <c r="F262" s="423"/>
    </row>
    <row r="263" spans="1:6" ht="15" thickBot="1">
      <c r="A263" s="277" t="s">
        <v>669</v>
      </c>
      <c r="B263" s="271" t="s">
        <v>1084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5" thickBot="1">
      <c r="A264" s="277" t="s">
        <v>669</v>
      </c>
      <c r="B264" s="271" t="s">
        <v>527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5" thickBot="1">
      <c r="A265" s="277" t="s">
        <v>669</v>
      </c>
      <c r="B265" s="271" t="s">
        <v>536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5" thickBot="1">
      <c r="A266" s="277" t="s">
        <v>669</v>
      </c>
      <c r="B266" s="271" t="s">
        <v>544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5" thickBot="1">
      <c r="A267" s="277" t="s">
        <v>669</v>
      </c>
      <c r="B267" s="271" t="s">
        <v>551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5" thickBot="1">
      <c r="A268" s="277" t="s">
        <v>669</v>
      </c>
      <c r="B268" s="271" t="s">
        <v>1085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5" thickBot="1">
      <c r="A269" s="277" t="s">
        <v>669</v>
      </c>
      <c r="B269" s="271" t="s">
        <v>565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5" thickBot="1">
      <c r="A270" s="277" t="s">
        <v>669</v>
      </c>
      <c r="B270" s="271" t="s">
        <v>572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5" thickBot="1">
      <c r="A271" s="277" t="s">
        <v>669</v>
      </c>
      <c r="B271" s="271" t="s">
        <v>579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5" thickBot="1">
      <c r="A272" s="277" t="s">
        <v>669</v>
      </c>
      <c r="B272" s="271" t="s">
        <v>586</v>
      </c>
      <c r="C272" s="424"/>
      <c r="D272" s="424"/>
      <c r="E272" s="424"/>
      <c r="F272" s="419">
        <v>0.14000000000000001</v>
      </c>
    </row>
    <row r="273" spans="1:6" ht="15" thickBot="1">
      <c r="A273" s="277" t="s">
        <v>669</v>
      </c>
      <c r="B273" s="271" t="s">
        <v>1086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5" thickBot="1">
      <c r="A274" s="277" t="s">
        <v>669</v>
      </c>
      <c r="B274" s="271" t="s">
        <v>1087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5" thickBot="1">
      <c r="A275" s="277" t="s">
        <v>669</v>
      </c>
      <c r="B275" s="271" t="s">
        <v>1088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5" thickBot="1">
      <c r="A276" s="277" t="s">
        <v>669</v>
      </c>
      <c r="B276" s="271" t="s">
        <v>1089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5" thickBot="1">
      <c r="A277" s="277" t="s">
        <v>669</v>
      </c>
      <c r="B277" s="271" t="s">
        <v>1090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5" thickBot="1">
      <c r="A278" s="277" t="s">
        <v>669</v>
      </c>
      <c r="B278" s="271" t="s">
        <v>1091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6" thickBot="1">
      <c r="A279" s="277" t="s">
        <v>669</v>
      </c>
      <c r="B279" s="271" t="s">
        <v>1092</v>
      </c>
      <c r="C279" s="424"/>
      <c r="D279" s="424"/>
      <c r="E279" s="424"/>
      <c r="F279" s="419">
        <v>0.05</v>
      </c>
    </row>
    <row r="280" spans="1:6" ht="24.6" thickBot="1">
      <c r="A280" s="277" t="s">
        <v>669</v>
      </c>
      <c r="B280" s="271" t="s">
        <v>1093</v>
      </c>
      <c r="C280" s="424"/>
      <c r="D280" s="424"/>
      <c r="E280" s="424"/>
      <c r="F280" s="419">
        <v>0.05</v>
      </c>
    </row>
    <row r="281" spans="1:6" ht="24.6" thickBot="1">
      <c r="A281" s="277" t="s">
        <v>669</v>
      </c>
      <c r="B281" s="271" t="s">
        <v>1094</v>
      </c>
      <c r="C281" s="424"/>
      <c r="D281" s="424"/>
      <c r="E281" s="424"/>
      <c r="F281" s="419">
        <v>0.05</v>
      </c>
    </row>
    <row r="282" spans="1:6" ht="24.6" thickBot="1">
      <c r="A282" s="277" t="s">
        <v>669</v>
      </c>
      <c r="B282" s="271" t="s">
        <v>1095</v>
      </c>
      <c r="C282" s="424"/>
      <c r="D282" s="424"/>
      <c r="E282" s="424"/>
      <c r="F282" s="419">
        <v>0.05</v>
      </c>
    </row>
    <row r="283" spans="1:6" ht="24.6" thickBot="1">
      <c r="A283" s="277" t="s">
        <v>669</v>
      </c>
      <c r="B283" s="271" t="s">
        <v>1096</v>
      </c>
      <c r="C283" s="424"/>
      <c r="D283" s="424"/>
      <c r="E283" s="424"/>
      <c r="F283" s="419">
        <v>0.05</v>
      </c>
    </row>
    <row r="284" spans="1:6" ht="24.6" thickBot="1">
      <c r="A284" s="277" t="s">
        <v>669</v>
      </c>
      <c r="B284" s="271" t="s">
        <v>1097</v>
      </c>
      <c r="C284" s="424"/>
      <c r="D284" s="424"/>
      <c r="E284" s="424"/>
      <c r="F284" s="419">
        <v>0.05</v>
      </c>
    </row>
    <row r="285" spans="1:6" ht="24.6" thickBot="1">
      <c r="A285" s="277" t="s">
        <v>669</v>
      </c>
      <c r="B285" s="271" t="s">
        <v>1098</v>
      </c>
      <c r="C285" s="424"/>
      <c r="D285" s="424"/>
      <c r="E285" s="424"/>
      <c r="F285" s="419">
        <v>0.05</v>
      </c>
    </row>
    <row r="286" spans="1:6" ht="24.6" thickBot="1">
      <c r="A286" s="277" t="s">
        <v>669</v>
      </c>
      <c r="B286" s="271" t="s">
        <v>1099</v>
      </c>
      <c r="C286" s="424"/>
      <c r="D286" s="424"/>
      <c r="E286" s="424"/>
      <c r="F286" s="419">
        <v>0.05</v>
      </c>
    </row>
    <row r="287" spans="1:6" ht="24.6" thickBot="1">
      <c r="A287" s="277" t="s">
        <v>669</v>
      </c>
      <c r="B287" s="271" t="s">
        <v>1100</v>
      </c>
      <c r="C287" s="424"/>
      <c r="D287" s="424"/>
      <c r="E287" s="424"/>
      <c r="F287" s="419">
        <v>0.05</v>
      </c>
    </row>
    <row r="288" spans="1:6" ht="24.6" thickBot="1">
      <c r="A288" s="277" t="s">
        <v>669</v>
      </c>
      <c r="B288" s="271" t="s">
        <v>1101</v>
      </c>
      <c r="C288" s="424"/>
      <c r="D288" s="424"/>
      <c r="E288" s="424"/>
      <c r="F288" s="419">
        <v>0.05</v>
      </c>
    </row>
    <row r="289" spans="1:6" ht="24.6" thickBot="1">
      <c r="A289" s="294" t="s">
        <v>669</v>
      </c>
      <c r="B289" s="287" t="s">
        <v>1102</v>
      </c>
      <c r="C289" s="421"/>
      <c r="D289" s="421"/>
      <c r="E289" s="421"/>
      <c r="F289" s="425">
        <v>0.05</v>
      </c>
    </row>
    <row r="290" spans="1:6" ht="15" thickBot="1">
      <c r="A290" s="277" t="s">
        <v>673</v>
      </c>
      <c r="B290" s="278" t="s">
        <v>1103</v>
      </c>
      <c r="C290" s="416">
        <v>0.15</v>
      </c>
      <c r="D290" s="416">
        <v>0.15</v>
      </c>
      <c r="E290" s="416">
        <v>0.15</v>
      </c>
      <c r="F290" s="433"/>
    </row>
    <row r="291" spans="1:6" ht="15" thickBot="1">
      <c r="A291" s="277" t="s">
        <v>673</v>
      </c>
      <c r="B291" s="271" t="s">
        <v>326</v>
      </c>
      <c r="C291" s="418">
        <v>0.15</v>
      </c>
      <c r="D291" s="418">
        <v>0.15</v>
      </c>
      <c r="E291" s="418">
        <v>0.15</v>
      </c>
      <c r="F291" s="423"/>
    </row>
    <row r="292" spans="1:6" ht="15" thickBot="1">
      <c r="A292" s="277" t="s">
        <v>673</v>
      </c>
      <c r="B292" s="271" t="s">
        <v>1104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5" thickBot="1">
      <c r="A293" s="277" t="s">
        <v>673</v>
      </c>
      <c r="B293" s="271" t="s">
        <v>1105</v>
      </c>
      <c r="C293" s="424"/>
      <c r="D293" s="424"/>
      <c r="E293" s="424"/>
      <c r="F293" s="419">
        <v>0.1</v>
      </c>
    </row>
    <row r="294" spans="1:6" ht="15" thickBot="1">
      <c r="A294" s="277" t="s">
        <v>673</v>
      </c>
      <c r="B294" s="271" t="s">
        <v>1106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5" thickBot="1">
      <c r="A295" s="277" t="s">
        <v>673</v>
      </c>
      <c r="B295" s="271" t="s">
        <v>364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5" thickBot="1">
      <c r="A296" s="277" t="s">
        <v>673</v>
      </c>
      <c r="B296" s="271" t="s">
        <v>1107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5" thickBot="1">
      <c r="A297" s="277" t="s">
        <v>673</v>
      </c>
      <c r="B297" s="271" t="s">
        <v>1108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5" thickBot="1">
      <c r="A298" s="277" t="s">
        <v>673</v>
      </c>
      <c r="B298" s="271" t="s">
        <v>400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5" thickBot="1">
      <c r="A299" s="277" t="s">
        <v>673</v>
      </c>
      <c r="B299" s="271" t="s">
        <v>413</v>
      </c>
      <c r="C299" s="418">
        <v>0.15</v>
      </c>
      <c r="D299" s="418">
        <v>0.15</v>
      </c>
      <c r="E299" s="418">
        <v>0.15</v>
      </c>
      <c r="F299" s="423"/>
    </row>
    <row r="300" spans="1:6" ht="15" thickBot="1">
      <c r="A300" s="277" t="s">
        <v>673</v>
      </c>
      <c r="B300" s="271" t="s">
        <v>1109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5" thickBot="1">
      <c r="A301" s="277" t="s">
        <v>673</v>
      </c>
      <c r="B301" s="271" t="s">
        <v>435</v>
      </c>
      <c r="C301" s="418">
        <v>0.15</v>
      </c>
      <c r="D301" s="418">
        <v>0.15</v>
      </c>
      <c r="E301" s="418">
        <v>0.15</v>
      </c>
      <c r="F301" s="423"/>
    </row>
    <row r="302" spans="1:6" ht="15" thickBot="1">
      <c r="A302" s="277" t="s">
        <v>673</v>
      </c>
      <c r="B302" s="271" t="s">
        <v>1110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5" thickBot="1">
      <c r="A303" s="277" t="s">
        <v>673</v>
      </c>
      <c r="B303" s="271" t="s">
        <v>457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5" thickBot="1">
      <c r="A304" s="277" t="s">
        <v>673</v>
      </c>
      <c r="B304" s="271" t="s">
        <v>468</v>
      </c>
      <c r="C304" s="418">
        <v>0.15</v>
      </c>
      <c r="D304" s="418">
        <v>0.15</v>
      </c>
      <c r="E304" s="418">
        <v>0.15</v>
      </c>
      <c r="F304" s="423"/>
    </row>
    <row r="305" spans="1:6" ht="15" thickBot="1">
      <c r="A305" s="277" t="s">
        <v>673</v>
      </c>
      <c r="B305" s="271" t="s">
        <v>1111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5" thickBot="1">
      <c r="A306" s="277" t="s">
        <v>673</v>
      </c>
      <c r="B306" s="271" t="s">
        <v>489</v>
      </c>
      <c r="C306" s="418">
        <v>0.15</v>
      </c>
      <c r="D306" s="418">
        <v>0.15</v>
      </c>
      <c r="E306" s="418">
        <v>0.15</v>
      </c>
      <c r="F306" s="423"/>
    </row>
    <row r="307" spans="1:6" ht="15" thickBot="1">
      <c r="A307" s="277" t="s">
        <v>673</v>
      </c>
      <c r="B307" s="271" t="s">
        <v>1112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5" thickBot="1">
      <c r="A308" s="277" t="s">
        <v>673</v>
      </c>
      <c r="B308" s="271" t="s">
        <v>509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5" thickBot="1">
      <c r="A309" s="277" t="s">
        <v>673</v>
      </c>
      <c r="B309" s="271" t="s">
        <v>519</v>
      </c>
      <c r="C309" s="418">
        <v>0.15</v>
      </c>
      <c r="D309" s="418">
        <v>0.15</v>
      </c>
      <c r="E309" s="418">
        <v>0.15</v>
      </c>
      <c r="F309" s="423"/>
    </row>
    <row r="310" spans="1:6" ht="15" thickBot="1">
      <c r="A310" s="277" t="s">
        <v>673</v>
      </c>
      <c r="B310" s="271" t="s">
        <v>1113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5" thickBot="1">
      <c r="A311" s="277" t="s">
        <v>673</v>
      </c>
      <c r="B311" s="271" t="s">
        <v>1114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5" thickBot="1">
      <c r="A312" s="277" t="s">
        <v>673</v>
      </c>
      <c r="B312" s="271" t="s">
        <v>545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5" thickBot="1">
      <c r="A313" s="277" t="s">
        <v>673</v>
      </c>
      <c r="B313" s="271" t="s">
        <v>1115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6" thickBot="1">
      <c r="A314" s="277" t="s">
        <v>673</v>
      </c>
      <c r="B314" s="271" t="s">
        <v>1116</v>
      </c>
      <c r="C314" s="424"/>
      <c r="D314" s="424"/>
      <c r="E314" s="424"/>
      <c r="F314" s="419">
        <v>0.05</v>
      </c>
    </row>
    <row r="315" spans="1:6" ht="24.6" thickBot="1">
      <c r="A315" s="277" t="s">
        <v>673</v>
      </c>
      <c r="B315" s="271" t="s">
        <v>1117</v>
      </c>
      <c r="C315" s="424"/>
      <c r="D315" s="424"/>
      <c r="E315" s="424"/>
      <c r="F315" s="419">
        <v>0.05</v>
      </c>
    </row>
    <row r="316" spans="1:6" ht="24.6" thickBot="1">
      <c r="A316" s="294" t="s">
        <v>673</v>
      </c>
      <c r="B316" s="287" t="s">
        <v>1118</v>
      </c>
      <c r="C316" s="421"/>
      <c r="D316" s="421"/>
      <c r="E316" s="421"/>
      <c r="F316" s="425">
        <v>0.05</v>
      </c>
    </row>
    <row r="317" spans="1:6" ht="15" thickBot="1">
      <c r="A317" s="277" t="s">
        <v>1119</v>
      </c>
      <c r="B317" s="278" t="s">
        <v>1120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5" thickBot="1">
      <c r="A318" s="277" t="s">
        <v>1119</v>
      </c>
      <c r="B318" s="271" t="s">
        <v>1121</v>
      </c>
      <c r="C318" s="418">
        <v>0.107</v>
      </c>
      <c r="D318" s="418">
        <v>0.11</v>
      </c>
      <c r="E318" s="418">
        <v>0.112</v>
      </c>
      <c r="F318" s="423"/>
    </row>
    <row r="319" spans="1:6" ht="15" thickBot="1">
      <c r="A319" s="277" t="s">
        <v>1119</v>
      </c>
      <c r="B319" s="271" t="s">
        <v>1122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5" thickBot="1">
      <c r="A320" s="277" t="s">
        <v>1119</v>
      </c>
      <c r="B320" s="271" t="s">
        <v>353</v>
      </c>
      <c r="C320" s="418">
        <v>0.15</v>
      </c>
      <c r="D320" s="418">
        <v>0.15</v>
      </c>
      <c r="E320" s="418">
        <v>0.15</v>
      </c>
      <c r="F320" s="423"/>
    </row>
    <row r="321" spans="1:6" ht="15" thickBot="1">
      <c r="A321" s="277" t="s">
        <v>1119</v>
      </c>
      <c r="B321" s="271" t="s">
        <v>1123</v>
      </c>
      <c r="C321" s="418">
        <v>0.15</v>
      </c>
      <c r="D321" s="418">
        <v>0.15</v>
      </c>
      <c r="E321" s="418">
        <v>0.15</v>
      </c>
      <c r="F321" s="423"/>
    </row>
    <row r="322" spans="1:6" ht="15" thickBot="1">
      <c r="A322" s="277" t="s">
        <v>1119</v>
      </c>
      <c r="B322" s="271" t="s">
        <v>1124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5" thickBot="1">
      <c r="A323" s="277" t="s">
        <v>1119</v>
      </c>
      <c r="B323" s="271" t="s">
        <v>1125</v>
      </c>
      <c r="C323" s="418">
        <v>0.15</v>
      </c>
      <c r="D323" s="418">
        <v>0.15</v>
      </c>
      <c r="E323" s="418">
        <v>0.15</v>
      </c>
      <c r="F323" s="423"/>
    </row>
    <row r="324" spans="1:6" ht="15" thickBot="1">
      <c r="A324" s="277" t="s">
        <v>1119</v>
      </c>
      <c r="B324" s="271" t="s">
        <v>1126</v>
      </c>
      <c r="C324" s="418">
        <v>0.15</v>
      </c>
      <c r="D324" s="418">
        <v>0.15</v>
      </c>
      <c r="E324" s="418">
        <v>0.15</v>
      </c>
      <c r="F324" s="423"/>
    </row>
    <row r="325" spans="1:6" ht="15" thickBot="1">
      <c r="A325" s="277" t="s">
        <v>1119</v>
      </c>
      <c r="B325" s="271" t="s">
        <v>1127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5" thickBot="1">
      <c r="A326" s="277" t="s">
        <v>1119</v>
      </c>
      <c r="B326" s="271" t="s">
        <v>425</v>
      </c>
      <c r="C326" s="418">
        <v>0.15</v>
      </c>
      <c r="D326" s="418">
        <v>0.15</v>
      </c>
      <c r="E326" s="418">
        <v>0.15</v>
      </c>
      <c r="F326" s="423"/>
    </row>
    <row r="327" spans="1:6" ht="15" thickBot="1">
      <c r="A327" s="277" t="s">
        <v>1119</v>
      </c>
      <c r="B327" s="271" t="s">
        <v>1128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5" thickBot="1">
      <c r="A328" s="277" t="s">
        <v>1119</v>
      </c>
      <c r="B328" s="271" t="s">
        <v>447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5" thickBot="1">
      <c r="A329" s="277" t="s">
        <v>1119</v>
      </c>
      <c r="B329" s="271" t="s">
        <v>458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5" thickBot="1">
      <c r="A330" s="277" t="s">
        <v>1119</v>
      </c>
      <c r="B330" s="271" t="s">
        <v>469</v>
      </c>
      <c r="C330" s="418">
        <v>0.15</v>
      </c>
      <c r="D330" s="418">
        <v>0.15</v>
      </c>
      <c r="E330" s="418">
        <v>0.15</v>
      </c>
      <c r="F330" s="423"/>
    </row>
    <row r="331" spans="1:6" ht="15" thickBot="1">
      <c r="A331" s="277" t="s">
        <v>1119</v>
      </c>
      <c r="B331" s="271" t="s">
        <v>1129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5" thickBot="1">
      <c r="A332" s="277" t="s">
        <v>1119</v>
      </c>
      <c r="B332" s="271" t="s">
        <v>490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5" thickBot="1">
      <c r="A333" s="277" t="s">
        <v>1119</v>
      </c>
      <c r="B333" s="271" t="s">
        <v>1130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5" thickBot="1">
      <c r="A334" s="277" t="s">
        <v>1119</v>
      </c>
      <c r="B334" s="271" t="s">
        <v>510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5" thickBot="1">
      <c r="A335" s="277" t="s">
        <v>1119</v>
      </c>
      <c r="B335" s="271" t="s">
        <v>520</v>
      </c>
      <c r="C335" s="418">
        <v>0.15</v>
      </c>
      <c r="D335" s="418">
        <v>0.15</v>
      </c>
      <c r="E335" s="418">
        <v>0.15</v>
      </c>
      <c r="F335" s="423"/>
    </row>
    <row r="336" spans="1:6" ht="15" thickBot="1">
      <c r="A336" s="277" t="s">
        <v>1119</v>
      </c>
      <c r="B336" s="271" t="s">
        <v>1131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5" thickBot="1">
      <c r="A337" s="294" t="s">
        <v>1119</v>
      </c>
      <c r="B337" s="287" t="s">
        <v>538</v>
      </c>
      <c r="C337" s="421"/>
      <c r="D337" s="421"/>
      <c r="E337" s="421"/>
      <c r="F337" s="425">
        <v>0.14299999999999999</v>
      </c>
    </row>
    <row r="338" spans="1:6" ht="15" thickBot="1">
      <c r="A338" s="277" t="s">
        <v>1132</v>
      </c>
      <c r="B338" s="278" t="s">
        <v>1133</v>
      </c>
      <c r="C338" s="416">
        <v>0.15</v>
      </c>
      <c r="D338" s="416">
        <v>0.15</v>
      </c>
      <c r="E338" s="416">
        <v>0.15</v>
      </c>
      <c r="F338" s="433"/>
    </row>
    <row r="339" spans="1:6" ht="15" thickBot="1">
      <c r="A339" s="277" t="s">
        <v>1132</v>
      </c>
      <c r="B339" s="271" t="s">
        <v>1134</v>
      </c>
      <c r="C339" s="418">
        <v>0.15</v>
      </c>
      <c r="D339" s="418">
        <v>0.15</v>
      </c>
      <c r="E339" s="418">
        <v>0.15</v>
      </c>
      <c r="F339" s="423"/>
    </row>
    <row r="340" spans="1:6" ht="15" thickBot="1">
      <c r="A340" s="277" t="s">
        <v>1132</v>
      </c>
      <c r="B340" s="271" t="s">
        <v>1135</v>
      </c>
      <c r="C340" s="418">
        <v>0.15</v>
      </c>
      <c r="D340" s="418">
        <v>0.15</v>
      </c>
      <c r="E340" s="418">
        <v>0.15</v>
      </c>
      <c r="F340" s="423"/>
    </row>
    <row r="341" spans="1:6" ht="15" thickBot="1">
      <c r="A341" s="277" t="s">
        <v>1132</v>
      </c>
      <c r="B341" s="271" t="s">
        <v>1136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5" thickBot="1">
      <c r="A342" s="277" t="s">
        <v>1132</v>
      </c>
      <c r="B342" s="271" t="s">
        <v>1137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5" thickBot="1">
      <c r="A343" s="277" t="s">
        <v>1132</v>
      </c>
      <c r="B343" s="271" t="s">
        <v>1138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5" thickBot="1">
      <c r="A344" s="294" t="s">
        <v>1132</v>
      </c>
      <c r="B344" s="287" t="s">
        <v>1139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.4"/>
  <cols>
    <col min="1" max="1" width="12.6640625" style="301" customWidth="1"/>
    <col min="2" max="5" width="10.2187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3" t="s">
        <v>288</v>
      </c>
      <c r="B1" s="1823"/>
      <c r="C1" s="1823"/>
      <c r="D1" s="1823"/>
      <c r="E1" s="1823"/>
      <c r="F1" s="1823"/>
      <c r="H1" s="266"/>
      <c r="I1" s="267" t="s">
        <v>289</v>
      </c>
      <c r="J1" s="268" t="s">
        <v>290</v>
      </c>
      <c r="K1" s="268" t="s">
        <v>291</v>
      </c>
      <c r="L1" s="268" t="s">
        <v>292</v>
      </c>
      <c r="M1" s="268" t="s">
        <v>293</v>
      </c>
      <c r="N1" s="268" t="s">
        <v>294</v>
      </c>
      <c r="O1" s="268" t="s">
        <v>295</v>
      </c>
      <c r="P1" s="268" t="s">
        <v>296</v>
      </c>
      <c r="Q1" s="268" t="s">
        <v>297</v>
      </c>
      <c r="R1" s="268" t="s">
        <v>298</v>
      </c>
      <c r="S1" s="268" t="s">
        <v>299</v>
      </c>
      <c r="T1" s="269" t="s">
        <v>300</v>
      </c>
    </row>
    <row r="2" spans="1:20" ht="15" thickBot="1">
      <c r="A2" s="1824" t="s">
        <v>301</v>
      </c>
      <c r="B2" s="1824"/>
      <c r="C2" s="1824"/>
      <c r="D2" s="1824"/>
      <c r="E2" s="1824"/>
      <c r="F2" s="1824"/>
      <c r="I2" s="270" t="s">
        <v>302</v>
      </c>
      <c r="J2" s="271" t="s">
        <v>303</v>
      </c>
      <c r="K2" s="271" t="s">
        <v>304</v>
      </c>
      <c r="L2" s="271" t="s">
        <v>305</v>
      </c>
      <c r="M2" s="271" t="s">
        <v>306</v>
      </c>
      <c r="N2" s="271" t="s">
        <v>307</v>
      </c>
      <c r="O2" s="271" t="s">
        <v>308</v>
      </c>
      <c r="P2" s="271" t="s">
        <v>309</v>
      </c>
      <c r="Q2" s="271" t="s">
        <v>310</v>
      </c>
      <c r="R2" s="271" t="s">
        <v>311</v>
      </c>
      <c r="S2" s="271" t="s">
        <v>312</v>
      </c>
      <c r="T2" s="271" t="s">
        <v>313</v>
      </c>
    </row>
    <row r="3" spans="1:20" s="266" customFormat="1" ht="19.5" customHeight="1">
      <c r="A3" s="1825" t="s">
        <v>314</v>
      </c>
      <c r="B3" s="272"/>
      <c r="C3" s="273" t="s">
        <v>315</v>
      </c>
      <c r="D3" s="273" t="s">
        <v>1301</v>
      </c>
      <c r="E3" s="273" t="s">
        <v>1302</v>
      </c>
      <c r="F3" s="273" t="s">
        <v>316</v>
      </c>
      <c r="G3" s="274"/>
      <c r="I3" s="270" t="s">
        <v>317</v>
      </c>
      <c r="J3" s="271" t="s">
        <v>318</v>
      </c>
      <c r="K3" s="271" t="s">
        <v>319</v>
      </c>
      <c r="L3" s="271" t="s">
        <v>320</v>
      </c>
      <c r="M3" s="271" t="s">
        <v>321</v>
      </c>
      <c r="N3" s="271" t="s">
        <v>322</v>
      </c>
      <c r="O3" s="271" t="s">
        <v>323</v>
      </c>
      <c r="P3" s="271" t="s">
        <v>324</v>
      </c>
      <c r="Q3" s="271" t="s">
        <v>325</v>
      </c>
      <c r="R3" s="271" t="s">
        <v>326</v>
      </c>
      <c r="S3" s="271" t="s">
        <v>327</v>
      </c>
      <c r="T3" s="271" t="s">
        <v>328</v>
      </c>
    </row>
    <row r="4" spans="1:20" s="266" customFormat="1" ht="19.5" customHeight="1" thickBot="1">
      <c r="A4" s="1826"/>
      <c r="B4" s="275" t="s">
        <v>329</v>
      </c>
      <c r="C4" s="275" t="s">
        <v>330</v>
      </c>
      <c r="D4" s="275" t="s">
        <v>330</v>
      </c>
      <c r="E4" s="275" t="s">
        <v>330</v>
      </c>
      <c r="F4" s="276" t="s">
        <v>330</v>
      </c>
      <c r="G4" s="274"/>
      <c r="I4" s="270" t="s">
        <v>331</v>
      </c>
      <c r="J4" s="271" t="s">
        <v>251</v>
      </c>
      <c r="K4" s="271" t="s">
        <v>332</v>
      </c>
      <c r="L4" s="271" t="s">
        <v>333</v>
      </c>
      <c r="M4" s="271" t="s">
        <v>334</v>
      </c>
      <c r="N4" s="271" t="s">
        <v>335</v>
      </c>
      <c r="O4" s="271" t="s">
        <v>336</v>
      </c>
      <c r="P4" s="271" t="s">
        <v>337</v>
      </c>
      <c r="Q4" s="271" t="s">
        <v>338</v>
      </c>
      <c r="R4" s="271" t="s">
        <v>339</v>
      </c>
      <c r="S4" s="271" t="s">
        <v>340</v>
      </c>
      <c r="T4" s="271" t="s">
        <v>341</v>
      </c>
    </row>
    <row r="5" spans="1:20" ht="14.25" customHeight="1" thickBot="1">
      <c r="A5" s="277" t="s">
        <v>342</v>
      </c>
      <c r="B5" s="278" t="s">
        <v>302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289</v>
      </c>
      <c r="H5" s="281">
        <f>SUMPRODUCT((B5:B9='2014基准地价'!I2)*(C3:F3='2014基准地价'!E2)*(C5:F9))</f>
        <v>0</v>
      </c>
      <c r="I5" s="270" t="s">
        <v>343</v>
      </c>
      <c r="J5" s="271" t="s">
        <v>344</v>
      </c>
      <c r="K5" s="271" t="s">
        <v>345</v>
      </c>
      <c r="L5" s="271" t="s">
        <v>346</v>
      </c>
      <c r="M5" s="271" t="s">
        <v>347</v>
      </c>
      <c r="N5" s="271" t="s">
        <v>348</v>
      </c>
      <c r="O5" s="271" t="s">
        <v>349</v>
      </c>
      <c r="P5" s="271" t="s">
        <v>350</v>
      </c>
      <c r="Q5" s="271" t="s">
        <v>351</v>
      </c>
      <c r="R5" s="271" t="s">
        <v>352</v>
      </c>
      <c r="S5" s="271" t="s">
        <v>353</v>
      </c>
      <c r="T5" s="271" t="s">
        <v>354</v>
      </c>
    </row>
    <row r="6" spans="1:20" ht="14.25" customHeight="1" thickBot="1">
      <c r="A6" s="277" t="s">
        <v>342</v>
      </c>
      <c r="B6" s="271" t="s">
        <v>317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290</v>
      </c>
      <c r="H6" s="284">
        <f>SUMPRODUCT((B10:B28='2014基准地价'!I2)*(C3:F3='2014基准地价'!E2)*(C10:F28))</f>
        <v>0</v>
      </c>
      <c r="I6" s="270" t="s">
        <v>355</v>
      </c>
      <c r="J6" s="271" t="s">
        <v>356</v>
      </c>
      <c r="K6" s="271" t="s">
        <v>357</v>
      </c>
      <c r="L6" s="271" t="s">
        <v>358</v>
      </c>
      <c r="M6" s="271" t="s">
        <v>359</v>
      </c>
      <c r="N6" s="271" t="s">
        <v>360</v>
      </c>
      <c r="O6" s="271" t="s">
        <v>361</v>
      </c>
      <c r="P6" s="271" t="s">
        <v>362</v>
      </c>
      <c r="Q6" s="271" t="s">
        <v>363</v>
      </c>
      <c r="R6" s="271" t="s">
        <v>364</v>
      </c>
      <c r="S6" s="271" t="s">
        <v>365</v>
      </c>
      <c r="T6" s="271" t="s">
        <v>366</v>
      </c>
    </row>
    <row r="7" spans="1:20" ht="14.25" customHeight="1" thickBot="1">
      <c r="A7" s="277" t="s">
        <v>342</v>
      </c>
      <c r="B7" s="285" t="s">
        <v>331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367</v>
      </c>
      <c r="H7" s="284">
        <f>SUMPRODUCT((B29:B48='2014基准地价'!I2)*(C3:F3='2014基准地价'!E2)*(C29:F48))</f>
        <v>0</v>
      </c>
      <c r="J7" s="271" t="s">
        <v>368</v>
      </c>
      <c r="K7" s="271" t="s">
        <v>369</v>
      </c>
      <c r="L7" s="271" t="s">
        <v>370</v>
      </c>
      <c r="M7" s="271" t="s">
        <v>371</v>
      </c>
      <c r="N7" s="271" t="s">
        <v>372</v>
      </c>
      <c r="O7" s="271" t="s">
        <v>373</v>
      </c>
      <c r="P7" s="271" t="s">
        <v>374</v>
      </c>
      <c r="Q7" s="271" t="s">
        <v>375</v>
      </c>
      <c r="R7" s="271" t="s">
        <v>376</v>
      </c>
      <c r="S7" s="271" t="s">
        <v>377</v>
      </c>
      <c r="T7" s="285" t="s">
        <v>378</v>
      </c>
    </row>
    <row r="8" spans="1:20" ht="14.25" customHeight="1" thickBot="1">
      <c r="A8" s="277" t="s">
        <v>342</v>
      </c>
      <c r="B8" s="271" t="s">
        <v>343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379</v>
      </c>
      <c r="H8" s="284">
        <f>SUMPRODUCT((B49:B75='2014基准地价'!I2)*(C3:F3='2014基准地价'!E2)*(C49:F75))</f>
        <v>0</v>
      </c>
      <c r="J8" s="271" t="s">
        <v>380</v>
      </c>
      <c r="K8" s="271" t="s">
        <v>381</v>
      </c>
      <c r="L8" s="271" t="s">
        <v>382</v>
      </c>
      <c r="M8" s="271" t="s">
        <v>383</v>
      </c>
      <c r="N8" s="271" t="s">
        <v>384</v>
      </c>
      <c r="O8" s="271" t="s">
        <v>385</v>
      </c>
      <c r="P8" s="271" t="s">
        <v>386</v>
      </c>
      <c r="Q8" s="271" t="s">
        <v>387</v>
      </c>
      <c r="R8" s="271" t="s">
        <v>388</v>
      </c>
      <c r="S8" s="271" t="s">
        <v>389</v>
      </c>
      <c r="T8" s="271" t="s">
        <v>390</v>
      </c>
    </row>
    <row r="9" spans="1:20" ht="14.25" customHeight="1" thickBot="1">
      <c r="A9" s="277" t="s">
        <v>342</v>
      </c>
      <c r="B9" s="286" t="s">
        <v>355</v>
      </c>
      <c r="C9" s="287">
        <v>28140</v>
      </c>
      <c r="D9" s="287"/>
      <c r="E9" s="287"/>
      <c r="F9" s="288"/>
      <c r="G9" s="283" t="s">
        <v>391</v>
      </c>
      <c r="H9" s="284">
        <f>SUMPRODUCT((B76:B109='2014基准地价'!I2)*(C3:F3='2014基准地价'!E2)*(C76:F109))</f>
        <v>0</v>
      </c>
      <c r="J9" s="271" t="s">
        <v>392</v>
      </c>
      <c r="K9" s="271" t="s">
        <v>393</v>
      </c>
      <c r="L9" s="271" t="s">
        <v>394</v>
      </c>
      <c r="M9" s="271" t="s">
        <v>395</v>
      </c>
      <c r="N9" s="271" t="s">
        <v>396</v>
      </c>
      <c r="O9" s="271" t="s">
        <v>397</v>
      </c>
      <c r="P9" s="271" t="s">
        <v>398</v>
      </c>
      <c r="Q9" s="271" t="s">
        <v>399</v>
      </c>
      <c r="R9" s="271" t="s">
        <v>400</v>
      </c>
      <c r="S9" s="271" t="s">
        <v>401</v>
      </c>
    </row>
    <row r="10" spans="1:20" ht="14.25" customHeight="1" thickBot="1">
      <c r="A10" s="277" t="s">
        <v>402</v>
      </c>
      <c r="B10" s="278" t="s">
        <v>403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404</v>
      </c>
      <c r="H10" s="284">
        <f>SUMPRODUCT((B110:B157='2014基准地价'!I2)*(C3:F3='2014基准地价'!E2)*(C110:F157))</f>
        <v>0</v>
      </c>
      <c r="J10" s="271" t="s">
        <v>405</v>
      </c>
      <c r="K10" s="271" t="s">
        <v>406</v>
      </c>
      <c r="L10" s="271" t="s">
        <v>407</v>
      </c>
      <c r="M10" s="271" t="s">
        <v>408</v>
      </c>
      <c r="N10" s="271" t="s">
        <v>409</v>
      </c>
      <c r="O10" s="271" t="s">
        <v>410</v>
      </c>
      <c r="P10" s="271" t="s">
        <v>411</v>
      </c>
      <c r="Q10" s="271" t="s">
        <v>412</v>
      </c>
      <c r="R10" s="271" t="s">
        <v>413</v>
      </c>
      <c r="S10" s="271" t="s">
        <v>414</v>
      </c>
    </row>
    <row r="11" spans="1:20" ht="14.25" customHeight="1" thickBot="1">
      <c r="A11" s="277" t="s">
        <v>402</v>
      </c>
      <c r="B11" s="285" t="s">
        <v>318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415</v>
      </c>
      <c r="H11" s="284">
        <f>SUMPRODUCT((B158:B205='2014基准地价'!I2)*(C3:F3='2014基准地价'!E2)*(C158:F205))</f>
        <v>0</v>
      </c>
      <c r="J11" s="271" t="s">
        <v>416</v>
      </c>
      <c r="K11" s="271" t="s">
        <v>417</v>
      </c>
      <c r="L11" s="271" t="s">
        <v>418</v>
      </c>
      <c r="M11" s="271" t="s">
        <v>419</v>
      </c>
      <c r="N11" s="271" t="s">
        <v>420</v>
      </c>
      <c r="O11" s="271" t="s">
        <v>421</v>
      </c>
      <c r="P11" s="271" t="s">
        <v>422</v>
      </c>
      <c r="Q11" s="271" t="s">
        <v>423</v>
      </c>
      <c r="R11" s="271" t="s">
        <v>424</v>
      </c>
      <c r="S11" s="271" t="s">
        <v>425</v>
      </c>
    </row>
    <row r="12" spans="1:20" ht="14.25" customHeight="1" thickBot="1">
      <c r="A12" s="277" t="s">
        <v>402</v>
      </c>
      <c r="B12" s="285" t="s">
        <v>251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426</v>
      </c>
      <c r="H12" s="284">
        <f>SUMPRODUCT((B206:B244='2014基准地价'!I2)*(C3:F3='2014基准地价'!E2)*(C206:F244))</f>
        <v>0</v>
      </c>
      <c r="J12" s="271" t="s">
        <v>427</v>
      </c>
      <c r="K12" s="271" t="s">
        <v>428</v>
      </c>
      <c r="L12" s="271" t="s">
        <v>429</v>
      </c>
      <c r="M12" s="271" t="s">
        <v>430</v>
      </c>
      <c r="N12" s="271" t="s">
        <v>431</v>
      </c>
      <c r="O12" s="271" t="s">
        <v>432</v>
      </c>
      <c r="P12" s="271" t="s">
        <v>433</v>
      </c>
      <c r="Q12" s="271" t="s">
        <v>434</v>
      </c>
      <c r="R12" s="271" t="s">
        <v>435</v>
      </c>
      <c r="S12" s="271" t="s">
        <v>436</v>
      </c>
    </row>
    <row r="13" spans="1:20" ht="14.25" customHeight="1" thickBot="1">
      <c r="A13" s="277" t="s">
        <v>402</v>
      </c>
      <c r="B13" s="285" t="s">
        <v>344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437</v>
      </c>
      <c r="H13" s="284">
        <f>SUMPRODUCT((B245:B289='2014基准地价'!I2)*(C3:F3='2014基准地价'!E2)*(C245:F289))</f>
        <v>0</v>
      </c>
      <c r="J13" s="271" t="s">
        <v>438</v>
      </c>
      <c r="K13" s="271" t="s">
        <v>439</v>
      </c>
      <c r="L13" s="271" t="s">
        <v>440</v>
      </c>
      <c r="M13" s="271" t="s">
        <v>441</v>
      </c>
      <c r="N13" s="271" t="s">
        <v>442</v>
      </c>
      <c r="O13" s="271" t="s">
        <v>443</v>
      </c>
      <c r="P13" s="271" t="s">
        <v>444</v>
      </c>
      <c r="Q13" s="271" t="s">
        <v>445</v>
      </c>
      <c r="R13" s="271" t="s">
        <v>446</v>
      </c>
      <c r="S13" s="271" t="s">
        <v>447</v>
      </c>
    </row>
    <row r="14" spans="1:20" ht="14.25" customHeight="1" thickBot="1">
      <c r="A14" s="277" t="s">
        <v>402</v>
      </c>
      <c r="B14" s="285" t="s">
        <v>356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448</v>
      </c>
      <c r="H14" s="284">
        <f>SUMPRODUCT((B290:B316='2014基准地价'!I2)*(C3:F3='2014基准地价'!E2)*(C290:F316))</f>
        <v>0</v>
      </c>
      <c r="J14" s="271" t="s">
        <v>449</v>
      </c>
      <c r="K14" s="271" t="s">
        <v>450</v>
      </c>
      <c r="L14" s="271" t="s">
        <v>451</v>
      </c>
      <c r="M14" s="271" t="s">
        <v>452</v>
      </c>
      <c r="N14" s="271" t="s">
        <v>453</v>
      </c>
      <c r="O14" s="271" t="s">
        <v>454</v>
      </c>
      <c r="P14" s="271" t="s">
        <v>455</v>
      </c>
      <c r="Q14" s="271" t="s">
        <v>456</v>
      </c>
      <c r="R14" s="271" t="s">
        <v>457</v>
      </c>
      <c r="S14" s="271" t="s">
        <v>458</v>
      </c>
    </row>
    <row r="15" spans="1:20" ht="14.25" customHeight="1" thickBot="1">
      <c r="A15" s="277" t="s">
        <v>402</v>
      </c>
      <c r="B15" s="285" t="s">
        <v>368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459</v>
      </c>
      <c r="H15" s="284">
        <f>SUMPRODUCT((B317:B337='2014基准地价'!I2)*(C3:F3='2014基准地价'!E2)*(C317:F337))</f>
        <v>0</v>
      </c>
      <c r="J15" s="271" t="s">
        <v>460</v>
      </c>
      <c r="K15" s="271" t="s">
        <v>461</v>
      </c>
      <c r="L15" s="271" t="s">
        <v>462</v>
      </c>
      <c r="M15" s="271" t="s">
        <v>463</v>
      </c>
      <c r="N15" s="271" t="s">
        <v>464</v>
      </c>
      <c r="O15" s="271" t="s">
        <v>465</v>
      </c>
      <c r="P15" s="271" t="s">
        <v>466</v>
      </c>
      <c r="Q15" s="271" t="s">
        <v>467</v>
      </c>
      <c r="R15" s="271" t="s">
        <v>468</v>
      </c>
      <c r="S15" s="271" t="s">
        <v>469</v>
      </c>
    </row>
    <row r="16" spans="1:20" ht="14.25" customHeight="1" thickBot="1">
      <c r="A16" s="277" t="s">
        <v>402</v>
      </c>
      <c r="B16" s="285" t="s">
        <v>380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470</v>
      </c>
      <c r="H16" s="291">
        <f>SUMPRODUCT((B338:B344='2014基准地价'!I2)*(C3:F3='2014基准地价'!E2)*(C338:F344))</f>
        <v>0</v>
      </c>
      <c r="J16" s="271" t="s">
        <v>471</v>
      </c>
      <c r="K16" s="271" t="s">
        <v>472</v>
      </c>
      <c r="L16" s="271" t="s">
        <v>473</v>
      </c>
      <c r="M16" s="271" t="s">
        <v>474</v>
      </c>
      <c r="N16" s="271" t="s">
        <v>475</v>
      </c>
      <c r="O16" s="271" t="s">
        <v>476</v>
      </c>
      <c r="P16" s="271" t="s">
        <v>477</v>
      </c>
      <c r="Q16" s="271" t="s">
        <v>478</v>
      </c>
      <c r="R16" s="271" t="s">
        <v>479</v>
      </c>
      <c r="S16" s="271" t="s">
        <v>480</v>
      </c>
    </row>
    <row r="17" spans="1:19" ht="14.25" customHeight="1" thickBot="1">
      <c r="A17" s="277" t="s">
        <v>402</v>
      </c>
      <c r="B17" s="285" t="s">
        <v>392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481</v>
      </c>
      <c r="K17" s="271" t="s">
        <v>482</v>
      </c>
      <c r="L17" s="271" t="s">
        <v>483</v>
      </c>
      <c r="M17" s="271" t="s">
        <v>484</v>
      </c>
      <c r="N17" s="271" t="s">
        <v>485</v>
      </c>
      <c r="O17" s="271" t="s">
        <v>486</v>
      </c>
      <c r="P17" s="271" t="s">
        <v>487</v>
      </c>
      <c r="Q17" s="271" t="s">
        <v>488</v>
      </c>
      <c r="R17" s="271" t="s">
        <v>489</v>
      </c>
      <c r="S17" s="271" t="s">
        <v>490</v>
      </c>
    </row>
    <row r="18" spans="1:19" ht="14.25" customHeight="1" thickBot="1">
      <c r="A18" s="277" t="s">
        <v>402</v>
      </c>
      <c r="B18" s="285" t="s">
        <v>405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491</v>
      </c>
      <c r="K18" s="271" t="s">
        <v>492</v>
      </c>
      <c r="L18" s="271" t="s">
        <v>493</v>
      </c>
      <c r="M18" s="271" t="s">
        <v>494</v>
      </c>
      <c r="N18" s="271" t="s">
        <v>495</v>
      </c>
      <c r="O18" s="271" t="s">
        <v>496</v>
      </c>
      <c r="P18" s="271" t="s">
        <v>497</v>
      </c>
      <c r="Q18" s="271" t="s">
        <v>498</v>
      </c>
      <c r="R18" s="271" t="s">
        <v>499</v>
      </c>
      <c r="S18" s="271" t="s">
        <v>500</v>
      </c>
    </row>
    <row r="19" spans="1:19" ht="14.25" customHeight="1" thickBot="1">
      <c r="A19" s="277" t="s">
        <v>402</v>
      </c>
      <c r="B19" s="285" t="s">
        <v>416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501</v>
      </c>
      <c r="K19" s="271" t="s">
        <v>502</v>
      </c>
      <c r="L19" s="271" t="s">
        <v>503</v>
      </c>
      <c r="M19" s="271" t="s">
        <v>504</v>
      </c>
      <c r="N19" s="271" t="s">
        <v>505</v>
      </c>
      <c r="O19" s="271" t="s">
        <v>506</v>
      </c>
      <c r="P19" s="271" t="s">
        <v>507</v>
      </c>
      <c r="Q19" s="271" t="s">
        <v>508</v>
      </c>
      <c r="R19" s="271" t="s">
        <v>509</v>
      </c>
      <c r="S19" s="271" t="s">
        <v>510</v>
      </c>
    </row>
    <row r="20" spans="1:19" ht="14.25" customHeight="1" thickBot="1">
      <c r="A20" s="277" t="s">
        <v>402</v>
      </c>
      <c r="B20" s="285" t="s">
        <v>427</v>
      </c>
      <c r="C20" s="271">
        <v>27660</v>
      </c>
      <c r="D20" s="271">
        <v>24240</v>
      </c>
      <c r="E20" s="271">
        <v>24020</v>
      </c>
      <c r="F20" s="292"/>
      <c r="J20" s="271" t="s">
        <v>511</v>
      </c>
      <c r="K20" s="271" t="s">
        <v>512</v>
      </c>
      <c r="L20" s="271" t="s">
        <v>513</v>
      </c>
      <c r="M20" s="271" t="s">
        <v>514</v>
      </c>
      <c r="N20" s="271" t="s">
        <v>515</v>
      </c>
      <c r="O20" s="271" t="s">
        <v>516</v>
      </c>
      <c r="P20" s="271" t="s">
        <v>517</v>
      </c>
      <c r="Q20" s="271" t="s">
        <v>518</v>
      </c>
      <c r="R20" s="271" t="s">
        <v>519</v>
      </c>
      <c r="S20" s="271" t="s">
        <v>520</v>
      </c>
    </row>
    <row r="21" spans="1:19" ht="14.25" customHeight="1" thickBot="1">
      <c r="A21" s="277" t="s">
        <v>402</v>
      </c>
      <c r="B21" s="285" t="s">
        <v>438</v>
      </c>
      <c r="C21" s="271">
        <v>24720</v>
      </c>
      <c r="D21" s="271">
        <v>21670</v>
      </c>
      <c r="E21" s="271">
        <v>21510</v>
      </c>
      <c r="F21" s="292"/>
      <c r="K21" s="271" t="s">
        <v>521</v>
      </c>
      <c r="L21" s="271" t="s">
        <v>522</v>
      </c>
      <c r="M21" s="271" t="s">
        <v>523</v>
      </c>
      <c r="N21" s="271" t="s">
        <v>524</v>
      </c>
      <c r="O21" s="271" t="s">
        <v>525</v>
      </c>
      <c r="P21" s="271" t="s">
        <v>526</v>
      </c>
      <c r="Q21" s="271" t="s">
        <v>527</v>
      </c>
      <c r="R21" s="271" t="s">
        <v>528</v>
      </c>
      <c r="S21" s="271" t="s">
        <v>529</v>
      </c>
    </row>
    <row r="22" spans="1:19" ht="14.25" customHeight="1" thickBot="1">
      <c r="A22" s="277" t="s">
        <v>402</v>
      </c>
      <c r="B22" s="285" t="s">
        <v>530</v>
      </c>
      <c r="C22" s="271">
        <v>26530</v>
      </c>
      <c r="D22" s="271">
        <v>22980</v>
      </c>
      <c r="E22" s="271">
        <v>22650</v>
      </c>
      <c r="F22" s="292"/>
      <c r="L22" s="271" t="s">
        <v>531</v>
      </c>
      <c r="M22" s="271" t="s">
        <v>532</v>
      </c>
      <c r="N22" s="271" t="s">
        <v>533</v>
      </c>
      <c r="O22" s="271" t="s">
        <v>534</v>
      </c>
      <c r="P22" s="271" t="s">
        <v>535</v>
      </c>
      <c r="Q22" s="271" t="s">
        <v>536</v>
      </c>
      <c r="R22" s="271" t="s">
        <v>537</v>
      </c>
      <c r="S22" s="285" t="s">
        <v>538</v>
      </c>
    </row>
    <row r="23" spans="1:19" ht="14.25" customHeight="1" thickBot="1">
      <c r="A23" s="277" t="s">
        <v>402</v>
      </c>
      <c r="B23" s="285" t="s">
        <v>460</v>
      </c>
      <c r="C23" s="271">
        <v>24700</v>
      </c>
      <c r="D23" s="271">
        <v>27290</v>
      </c>
      <c r="E23" s="271">
        <v>26710</v>
      </c>
      <c r="F23" s="292"/>
      <c r="L23" s="271" t="s">
        <v>539</v>
      </c>
      <c r="M23" s="271" t="s">
        <v>540</v>
      </c>
      <c r="N23" s="271" t="s">
        <v>541</v>
      </c>
      <c r="O23" s="271" t="s">
        <v>542</v>
      </c>
      <c r="P23" s="271" t="s">
        <v>543</v>
      </c>
      <c r="Q23" s="271" t="s">
        <v>544</v>
      </c>
      <c r="R23" s="271" t="s">
        <v>545</v>
      </c>
    </row>
    <row r="24" spans="1:19" ht="14.25" customHeight="1" thickBot="1">
      <c r="A24" s="277" t="s">
        <v>402</v>
      </c>
      <c r="B24" s="285" t="s">
        <v>471</v>
      </c>
      <c r="C24" s="271">
        <v>23070</v>
      </c>
      <c r="D24" s="271">
        <v>24130</v>
      </c>
      <c r="E24" s="271">
        <v>23860</v>
      </c>
      <c r="F24" s="292"/>
      <c r="L24" s="271" t="s">
        <v>546</v>
      </c>
      <c r="M24" s="271" t="s">
        <v>547</v>
      </c>
      <c r="N24" s="271" t="s">
        <v>548</v>
      </c>
      <c r="O24" s="271" t="s">
        <v>549</v>
      </c>
      <c r="P24" s="271" t="s">
        <v>550</v>
      </c>
      <c r="Q24" s="271" t="s">
        <v>551</v>
      </c>
      <c r="R24" s="271" t="s">
        <v>552</v>
      </c>
    </row>
    <row r="25" spans="1:19" ht="14.25" customHeight="1" thickBot="1">
      <c r="A25" s="277" t="s">
        <v>402</v>
      </c>
      <c r="B25" s="285" t="s">
        <v>481</v>
      </c>
      <c r="C25" s="271">
        <v>27550</v>
      </c>
      <c r="D25" s="271">
        <v>25850</v>
      </c>
      <c r="E25" s="271">
        <v>25340</v>
      </c>
      <c r="F25" s="292"/>
      <c r="L25" s="271" t="s">
        <v>553</v>
      </c>
      <c r="M25" s="271" t="s">
        <v>554</v>
      </c>
      <c r="N25" s="271" t="s">
        <v>555</v>
      </c>
      <c r="O25" s="271" t="s">
        <v>556</v>
      </c>
      <c r="P25" s="271" t="s">
        <v>557</v>
      </c>
      <c r="Q25" s="271" t="s">
        <v>558</v>
      </c>
      <c r="R25" s="271" t="s">
        <v>559</v>
      </c>
    </row>
    <row r="26" spans="1:19" ht="14.25" customHeight="1" thickBot="1">
      <c r="A26" s="277" t="s">
        <v>402</v>
      </c>
      <c r="B26" s="285" t="s">
        <v>491</v>
      </c>
      <c r="C26" s="271"/>
      <c r="D26" s="271">
        <v>23900</v>
      </c>
      <c r="E26" s="271">
        <v>23590</v>
      </c>
      <c r="F26" s="292"/>
      <c r="L26" s="271" t="s">
        <v>560</v>
      </c>
      <c r="M26" s="271" t="s">
        <v>561</v>
      </c>
      <c r="N26" s="271" t="s">
        <v>562</v>
      </c>
      <c r="O26" s="271" t="s">
        <v>563</v>
      </c>
      <c r="P26" s="271" t="s">
        <v>564</v>
      </c>
      <c r="Q26" s="271" t="s">
        <v>565</v>
      </c>
      <c r="R26" s="271" t="s">
        <v>566</v>
      </c>
    </row>
    <row r="27" spans="1:19" ht="14.25" customHeight="1" thickBot="1">
      <c r="A27" s="277" t="s">
        <v>402</v>
      </c>
      <c r="B27" s="285" t="s">
        <v>501</v>
      </c>
      <c r="C27" s="271"/>
      <c r="D27" s="271">
        <v>22850</v>
      </c>
      <c r="E27" s="271">
        <v>21920</v>
      </c>
      <c r="F27" s="292"/>
      <c r="L27" s="271" t="s">
        <v>567</v>
      </c>
      <c r="M27" s="271" t="s">
        <v>568</v>
      </c>
      <c r="N27" s="271" t="s">
        <v>569</v>
      </c>
      <c r="O27" s="271" t="s">
        <v>570</v>
      </c>
      <c r="P27" s="271" t="s">
        <v>571</v>
      </c>
      <c r="Q27" s="271" t="s">
        <v>572</v>
      </c>
      <c r="R27" s="271" t="s">
        <v>573</v>
      </c>
    </row>
    <row r="28" spans="1:19" ht="14.25" customHeight="1" thickBot="1">
      <c r="A28" s="294" t="s">
        <v>402</v>
      </c>
      <c r="B28" s="286" t="s">
        <v>511</v>
      </c>
      <c r="C28" s="287"/>
      <c r="D28" s="287">
        <v>26610</v>
      </c>
      <c r="E28" s="287">
        <v>26370</v>
      </c>
      <c r="F28" s="288"/>
      <c r="L28" s="271" t="s">
        <v>574</v>
      </c>
      <c r="M28" s="271" t="s">
        <v>575</v>
      </c>
      <c r="N28" s="271" t="s">
        <v>576</v>
      </c>
      <c r="O28" s="271" t="s">
        <v>577</v>
      </c>
      <c r="P28" s="271" t="s">
        <v>578</v>
      </c>
      <c r="Q28" s="271" t="s">
        <v>579</v>
      </c>
    </row>
    <row r="29" spans="1:19" ht="14.25" customHeight="1" thickBot="1">
      <c r="A29" s="277" t="s">
        <v>580</v>
      </c>
      <c r="B29" s="278" t="s">
        <v>581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582</v>
      </c>
      <c r="N29" s="271" t="s">
        <v>583</v>
      </c>
      <c r="O29" s="271" t="s">
        <v>584</v>
      </c>
      <c r="P29" s="271" t="s">
        <v>585</v>
      </c>
      <c r="Q29" s="271" t="s">
        <v>586</v>
      </c>
    </row>
    <row r="30" spans="1:19" ht="14.25" customHeight="1" thickBot="1">
      <c r="A30" s="277" t="s">
        <v>580</v>
      </c>
      <c r="B30" s="285" t="s">
        <v>319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587</v>
      </c>
      <c r="N30" s="271" t="s">
        <v>588</v>
      </c>
      <c r="O30" s="271" t="s">
        <v>589</v>
      </c>
      <c r="P30" s="271" t="s">
        <v>590</v>
      </c>
      <c r="Q30" s="271" t="s">
        <v>591</v>
      </c>
    </row>
    <row r="31" spans="1:19" ht="14.25" customHeight="1" thickBot="1">
      <c r="A31" s="277" t="s">
        <v>580</v>
      </c>
      <c r="B31" s="285" t="s">
        <v>332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592</v>
      </c>
      <c r="N31" s="271" t="s">
        <v>593</v>
      </c>
      <c r="O31" s="271" t="s">
        <v>594</v>
      </c>
      <c r="P31" s="271" t="s">
        <v>595</v>
      </c>
      <c r="Q31" s="271" t="s">
        <v>596</v>
      </c>
    </row>
    <row r="32" spans="1:19" ht="14.25" customHeight="1" thickBot="1">
      <c r="A32" s="277" t="s">
        <v>580</v>
      </c>
      <c r="B32" s="285" t="s">
        <v>345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597</v>
      </c>
      <c r="N32" s="271" t="s">
        <v>598</v>
      </c>
      <c r="O32" s="271" t="s">
        <v>599</v>
      </c>
      <c r="P32" s="271" t="s">
        <v>600</v>
      </c>
      <c r="Q32" s="271" t="s">
        <v>601</v>
      </c>
    </row>
    <row r="33" spans="1:17" ht="14.25" customHeight="1" thickBot="1">
      <c r="A33" s="277" t="s">
        <v>580</v>
      </c>
      <c r="B33" s="285" t="s">
        <v>357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602</v>
      </c>
      <c r="N33" s="271" t="s">
        <v>603</v>
      </c>
      <c r="O33" s="271" t="s">
        <v>604</v>
      </c>
      <c r="P33" s="271" t="s">
        <v>605</v>
      </c>
      <c r="Q33" s="271" t="s">
        <v>606</v>
      </c>
    </row>
    <row r="34" spans="1:17" ht="14.25" customHeight="1" thickBot="1">
      <c r="A34" s="277" t="s">
        <v>580</v>
      </c>
      <c r="B34" s="285" t="s">
        <v>369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607</v>
      </c>
      <c r="N34" s="271" t="s">
        <v>608</v>
      </c>
      <c r="O34" s="271" t="s">
        <v>609</v>
      </c>
      <c r="P34" s="271" t="s">
        <v>610</v>
      </c>
      <c r="Q34" s="271" t="s">
        <v>611</v>
      </c>
    </row>
    <row r="35" spans="1:17" ht="14.25" customHeight="1" thickBot="1">
      <c r="A35" s="277" t="s">
        <v>580</v>
      </c>
      <c r="B35" s="285" t="s">
        <v>381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612</v>
      </c>
      <c r="N35" s="271" t="s">
        <v>613</v>
      </c>
      <c r="O35" s="271" t="s">
        <v>614</v>
      </c>
      <c r="P35" s="271" t="s">
        <v>615</v>
      </c>
      <c r="Q35" s="271" t="s">
        <v>616</v>
      </c>
    </row>
    <row r="36" spans="1:17" ht="14.25" customHeight="1" thickBot="1">
      <c r="A36" s="277" t="s">
        <v>580</v>
      </c>
      <c r="B36" s="285" t="s">
        <v>393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617</v>
      </c>
      <c r="O36" s="271" t="s">
        <v>618</v>
      </c>
      <c r="P36" s="271" t="s">
        <v>619</v>
      </c>
      <c r="Q36" s="271" t="s">
        <v>620</v>
      </c>
    </row>
    <row r="37" spans="1:17" ht="14.25" customHeight="1" thickBot="1">
      <c r="A37" s="277" t="s">
        <v>580</v>
      </c>
      <c r="B37" s="285" t="s">
        <v>406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621</v>
      </c>
      <c r="O37" s="271" t="s">
        <v>622</v>
      </c>
      <c r="P37" s="271" t="s">
        <v>623</v>
      </c>
      <c r="Q37" s="271" t="s">
        <v>624</v>
      </c>
    </row>
    <row r="38" spans="1:17" ht="14.25" customHeight="1" thickBot="1">
      <c r="A38" s="277" t="s">
        <v>580</v>
      </c>
      <c r="B38" s="285" t="s">
        <v>417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625</v>
      </c>
      <c r="O38" s="271" t="s">
        <v>626</v>
      </c>
      <c r="P38" s="271" t="s">
        <v>627</v>
      </c>
      <c r="Q38" s="271" t="s">
        <v>628</v>
      </c>
    </row>
    <row r="39" spans="1:17" ht="14.25" customHeight="1" thickBot="1">
      <c r="A39" s="277" t="s">
        <v>580</v>
      </c>
      <c r="B39" s="285" t="s">
        <v>428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629</v>
      </c>
      <c r="O39" s="271" t="s">
        <v>630</v>
      </c>
      <c r="P39" s="271" t="s">
        <v>631</v>
      </c>
      <c r="Q39" s="271" t="s">
        <v>632</v>
      </c>
    </row>
    <row r="40" spans="1:17" ht="14.25" customHeight="1" thickBot="1">
      <c r="A40" s="277" t="s">
        <v>580</v>
      </c>
      <c r="B40" s="285" t="s">
        <v>439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633</v>
      </c>
      <c r="O40" s="271" t="s">
        <v>634</v>
      </c>
      <c r="P40" s="271" t="s">
        <v>635</v>
      </c>
      <c r="Q40" s="271" t="s">
        <v>636</v>
      </c>
    </row>
    <row r="41" spans="1:17" ht="14.25" customHeight="1" thickBot="1">
      <c r="A41" s="277" t="s">
        <v>580</v>
      </c>
      <c r="B41" s="285" t="s">
        <v>450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637</v>
      </c>
      <c r="O41" s="285" t="s">
        <v>638</v>
      </c>
      <c r="Q41" s="285" t="s">
        <v>639</v>
      </c>
    </row>
    <row r="42" spans="1:17" ht="14.25" customHeight="1" thickBot="1">
      <c r="A42" s="277" t="s">
        <v>580</v>
      </c>
      <c r="B42" s="285" t="s">
        <v>461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640</v>
      </c>
      <c r="O42" s="271" t="s">
        <v>641</v>
      </c>
      <c r="Q42" s="271" t="s">
        <v>642</v>
      </c>
    </row>
    <row r="43" spans="1:17" ht="14.25" customHeight="1" thickBot="1">
      <c r="A43" s="277" t="s">
        <v>580</v>
      </c>
      <c r="B43" s="285" t="s">
        <v>472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643</v>
      </c>
      <c r="O43" s="271" t="s">
        <v>644</v>
      </c>
      <c r="Q43" s="271" t="s">
        <v>645</v>
      </c>
    </row>
    <row r="44" spans="1:17" ht="14.25" customHeight="1" thickBot="1">
      <c r="A44" s="277" t="s">
        <v>580</v>
      </c>
      <c r="B44" s="285" t="s">
        <v>482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646</v>
      </c>
      <c r="O44" s="271" t="s">
        <v>647</v>
      </c>
      <c r="Q44" s="271" t="s">
        <v>648</v>
      </c>
    </row>
    <row r="45" spans="1:17" ht="14.25" customHeight="1" thickBot="1">
      <c r="A45" s="277" t="s">
        <v>580</v>
      </c>
      <c r="B45" s="285" t="s">
        <v>492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649</v>
      </c>
      <c r="O45" s="271" t="s">
        <v>650</v>
      </c>
      <c r="Q45" s="271" t="s">
        <v>651</v>
      </c>
    </row>
    <row r="46" spans="1:17" ht="14.25" customHeight="1" thickBot="1">
      <c r="A46" s="277" t="s">
        <v>580</v>
      </c>
      <c r="B46" s="285" t="s">
        <v>502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652</v>
      </c>
      <c r="O46" s="271" t="s">
        <v>653</v>
      </c>
      <c r="Q46" s="271" t="s">
        <v>654</v>
      </c>
    </row>
    <row r="47" spans="1:17" ht="14.25" customHeight="1" thickBot="1">
      <c r="A47" s="277" t="s">
        <v>580</v>
      </c>
      <c r="B47" s="285" t="s">
        <v>512</v>
      </c>
      <c r="C47" s="271">
        <v>18220</v>
      </c>
      <c r="D47" s="271"/>
      <c r="E47" s="271">
        <v>17220</v>
      </c>
      <c r="F47" s="289"/>
      <c r="H47" s="296"/>
      <c r="N47" s="271" t="s">
        <v>655</v>
      </c>
      <c r="O47" s="271" t="s">
        <v>656</v>
      </c>
    </row>
    <row r="48" spans="1:17" ht="14.25" customHeight="1" thickBot="1">
      <c r="A48" s="277" t="s">
        <v>580</v>
      </c>
      <c r="B48" s="286" t="s">
        <v>521</v>
      </c>
      <c r="C48" s="287">
        <v>19430</v>
      </c>
      <c r="D48" s="287"/>
      <c r="E48" s="287">
        <v>17830</v>
      </c>
      <c r="F48" s="297"/>
      <c r="H48" s="293"/>
      <c r="N48" s="271" t="s">
        <v>657</v>
      </c>
      <c r="O48" s="271" t="s">
        <v>658</v>
      </c>
    </row>
    <row r="49" spans="1:15" ht="14.25" customHeight="1" thickBot="1">
      <c r="A49" s="277" t="s">
        <v>250</v>
      </c>
      <c r="B49" s="278" t="s">
        <v>659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660</v>
      </c>
      <c r="O49" s="271" t="s">
        <v>661</v>
      </c>
    </row>
    <row r="50" spans="1:15" ht="14.25" customHeight="1" thickBot="1">
      <c r="A50" s="277" t="s">
        <v>250</v>
      </c>
      <c r="B50" s="271" t="s">
        <v>320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250</v>
      </c>
      <c r="B51" s="271" t="s">
        <v>333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250</v>
      </c>
      <c r="B52" s="271" t="s">
        <v>346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250</v>
      </c>
      <c r="B53" s="271" t="s">
        <v>358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250</v>
      </c>
      <c r="B54" s="271" t="s">
        <v>370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250</v>
      </c>
      <c r="B55" s="271" t="s">
        <v>382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250</v>
      </c>
      <c r="B56" s="271" t="s">
        <v>394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250</v>
      </c>
      <c r="B57" s="271" t="s">
        <v>407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250</v>
      </c>
      <c r="B58" s="271" t="s">
        <v>418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250</v>
      </c>
      <c r="B59" s="271" t="s">
        <v>429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250</v>
      </c>
      <c r="B60" s="271" t="s">
        <v>440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250</v>
      </c>
      <c r="B61" s="271" t="s">
        <v>451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250</v>
      </c>
      <c r="B62" s="271" t="s">
        <v>462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250</v>
      </c>
      <c r="B63" s="271" t="s">
        <v>473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250</v>
      </c>
      <c r="B64" s="271" t="s">
        <v>483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250</v>
      </c>
      <c r="B65" s="271" t="s">
        <v>493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250</v>
      </c>
      <c r="B66" s="271" t="s">
        <v>503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250</v>
      </c>
      <c r="B67" s="271" t="s">
        <v>513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250</v>
      </c>
      <c r="B68" s="271" t="s">
        <v>522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250</v>
      </c>
      <c r="B69" s="271" t="s">
        <v>531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250</v>
      </c>
      <c r="B70" s="271" t="s">
        <v>539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250</v>
      </c>
      <c r="B71" s="271" t="s">
        <v>546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250</v>
      </c>
      <c r="B72" s="271" t="s">
        <v>553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250</v>
      </c>
      <c r="B73" s="271" t="s">
        <v>560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250</v>
      </c>
      <c r="B74" s="271" t="s">
        <v>567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250</v>
      </c>
      <c r="B75" s="287" t="s">
        <v>574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662</v>
      </c>
      <c r="B76" s="278" t="s">
        <v>663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662</v>
      </c>
      <c r="B77" s="271" t="s">
        <v>321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662</v>
      </c>
      <c r="B78" s="271" t="s">
        <v>334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662</v>
      </c>
      <c r="B79" s="271" t="s">
        <v>347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662</v>
      </c>
      <c r="B80" s="271" t="s">
        <v>359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662</v>
      </c>
      <c r="B81" s="271" t="s">
        <v>371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662</v>
      </c>
      <c r="B82" s="271" t="s">
        <v>383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662</v>
      </c>
      <c r="B83" s="271" t="s">
        <v>395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662</v>
      </c>
      <c r="B84" s="271" t="s">
        <v>408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662</v>
      </c>
      <c r="B85" s="271" t="s">
        <v>419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662</v>
      </c>
      <c r="B86" s="271" t="s">
        <v>430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662</v>
      </c>
      <c r="B87" s="271" t="s">
        <v>441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662</v>
      </c>
      <c r="B88" s="271" t="s">
        <v>452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662</v>
      </c>
      <c r="B89" s="271" t="s">
        <v>463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662</v>
      </c>
      <c r="B90" s="271" t="s">
        <v>474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662</v>
      </c>
      <c r="B91" s="271" t="s">
        <v>484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662</v>
      </c>
      <c r="B92" s="271" t="s">
        <v>494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662</v>
      </c>
      <c r="B93" s="271" t="s">
        <v>504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662</v>
      </c>
      <c r="B94" s="271" t="s">
        <v>514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662</v>
      </c>
      <c r="B95" s="271" t="s">
        <v>523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662</v>
      </c>
      <c r="B96" s="271" t="s">
        <v>532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662</v>
      </c>
      <c r="B97" s="271" t="s">
        <v>540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662</v>
      </c>
      <c r="B98" s="271" t="s">
        <v>547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662</v>
      </c>
      <c r="B99" s="271" t="s">
        <v>554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662</v>
      </c>
      <c r="B100" s="271" t="s">
        <v>561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662</v>
      </c>
      <c r="B101" s="271" t="s">
        <v>568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662</v>
      </c>
      <c r="B102" s="271" t="s">
        <v>575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662</v>
      </c>
      <c r="B103" s="271" t="s">
        <v>582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662</v>
      </c>
      <c r="B104" s="271" t="s">
        <v>587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662</v>
      </c>
      <c r="B105" s="271" t="s">
        <v>592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662</v>
      </c>
      <c r="B106" s="271" t="s">
        <v>597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662</v>
      </c>
      <c r="B107" s="271" t="s">
        <v>602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662</v>
      </c>
      <c r="B108" s="271" t="s">
        <v>607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662</v>
      </c>
      <c r="B109" s="287" t="s">
        <v>612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33</v>
      </c>
      <c r="B110" s="278" t="s">
        <v>664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33</v>
      </c>
      <c r="B111" s="271" t="s">
        <v>322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33</v>
      </c>
      <c r="B112" s="271" t="s">
        <v>335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33</v>
      </c>
      <c r="B113" s="271" t="s">
        <v>348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33</v>
      </c>
      <c r="B114" s="271" t="s">
        <v>360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33</v>
      </c>
      <c r="B115" s="271" t="s">
        <v>372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33</v>
      </c>
      <c r="B116" s="271" t="s">
        <v>384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33</v>
      </c>
      <c r="B117" s="271" t="s">
        <v>396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33</v>
      </c>
      <c r="B118" s="271" t="s">
        <v>409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33</v>
      </c>
      <c r="B119" s="271" t="s">
        <v>420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33</v>
      </c>
      <c r="B120" s="271" t="s">
        <v>431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33</v>
      </c>
      <c r="B121" s="271" t="s">
        <v>442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33</v>
      </c>
      <c r="B122" s="271" t="s">
        <v>453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33</v>
      </c>
      <c r="B123" s="271" t="s">
        <v>464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33</v>
      </c>
      <c r="B124" s="271" t="s">
        <v>475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33</v>
      </c>
      <c r="B125" s="271" t="s">
        <v>485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33</v>
      </c>
      <c r="B126" s="271" t="s">
        <v>495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33</v>
      </c>
      <c r="B127" s="271" t="s">
        <v>505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33</v>
      </c>
      <c r="B128" s="271" t="s">
        <v>515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33</v>
      </c>
      <c r="B129" s="271" t="s">
        <v>524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33</v>
      </c>
      <c r="B130" s="271" t="s">
        <v>533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33</v>
      </c>
      <c r="B131" s="271" t="s">
        <v>541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33</v>
      </c>
      <c r="B132" s="271" t="s">
        <v>548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33</v>
      </c>
      <c r="B133" s="271" t="s">
        <v>555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33</v>
      </c>
      <c r="B134" s="271" t="s">
        <v>562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33</v>
      </c>
      <c r="B135" s="271" t="s">
        <v>569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33</v>
      </c>
      <c r="B136" s="271" t="s">
        <v>576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33</v>
      </c>
      <c r="B137" s="271" t="s">
        <v>583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33</v>
      </c>
      <c r="B138" s="271" t="s">
        <v>588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33</v>
      </c>
      <c r="B139" s="271" t="s">
        <v>593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33</v>
      </c>
      <c r="B140" s="271" t="s">
        <v>598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33</v>
      </c>
      <c r="B141" s="271" t="s">
        <v>603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33</v>
      </c>
      <c r="B142" s="271" t="s">
        <v>608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33</v>
      </c>
      <c r="B143" s="271" t="s">
        <v>613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33</v>
      </c>
      <c r="B144" s="271" t="s">
        <v>617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33</v>
      </c>
      <c r="B145" s="271" t="s">
        <v>621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33</v>
      </c>
      <c r="B146" s="271" t="s">
        <v>625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33</v>
      </c>
      <c r="B147" s="271" t="s">
        <v>629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33</v>
      </c>
      <c r="B148" s="271" t="s">
        <v>633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33</v>
      </c>
      <c r="B149" s="271" t="s">
        <v>637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33</v>
      </c>
      <c r="B150" s="271" t="s">
        <v>640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33</v>
      </c>
      <c r="B151" s="271" t="s">
        <v>643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33</v>
      </c>
      <c r="B152" s="271" t="s">
        <v>646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33</v>
      </c>
      <c r="B153" s="271" t="s">
        <v>649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33</v>
      </c>
      <c r="B154" s="271" t="s">
        <v>652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33</v>
      </c>
      <c r="B155" s="271" t="s">
        <v>655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33</v>
      </c>
      <c r="B156" s="271" t="s">
        <v>657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33</v>
      </c>
      <c r="B157" s="287" t="s">
        <v>660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665</v>
      </c>
      <c r="B158" s="278" t="s">
        <v>666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665</v>
      </c>
      <c r="B159" s="271" t="s">
        <v>323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665</v>
      </c>
      <c r="B160" s="271" t="s">
        <v>336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665</v>
      </c>
      <c r="B161" s="271" t="s">
        <v>349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665</v>
      </c>
      <c r="B162" s="271" t="s">
        <v>361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665</v>
      </c>
      <c r="B163" s="271" t="s">
        <v>373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665</v>
      </c>
      <c r="B164" s="271" t="s">
        <v>385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665</v>
      </c>
      <c r="B165" s="271" t="s">
        <v>397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665</v>
      </c>
      <c r="B166" s="271" t="s">
        <v>410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665</v>
      </c>
      <c r="B167" s="271" t="s">
        <v>421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665</v>
      </c>
      <c r="B168" s="271" t="s">
        <v>432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665</v>
      </c>
      <c r="B169" s="271" t="s">
        <v>443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665</v>
      </c>
      <c r="B170" s="271" t="s">
        <v>454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665</v>
      </c>
      <c r="B171" s="271" t="s">
        <v>465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665</v>
      </c>
      <c r="B172" s="271" t="s">
        <v>476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665</v>
      </c>
      <c r="B173" s="271" t="s">
        <v>486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665</v>
      </c>
      <c r="B174" s="271" t="s">
        <v>496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665</v>
      </c>
      <c r="B175" s="271" t="s">
        <v>506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665</v>
      </c>
      <c r="B176" s="271" t="s">
        <v>516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665</v>
      </c>
      <c r="B177" s="271" t="s">
        <v>525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665</v>
      </c>
      <c r="B178" s="271" t="s">
        <v>534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665</v>
      </c>
      <c r="B179" s="271" t="s">
        <v>542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665</v>
      </c>
      <c r="B180" s="271" t="s">
        <v>549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665</v>
      </c>
      <c r="B181" s="271" t="s">
        <v>556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665</v>
      </c>
      <c r="B182" s="271" t="s">
        <v>563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665</v>
      </c>
      <c r="B183" s="271" t="s">
        <v>570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665</v>
      </c>
      <c r="B184" s="271" t="s">
        <v>577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665</v>
      </c>
      <c r="B185" s="271" t="s">
        <v>584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665</v>
      </c>
      <c r="B186" s="271" t="s">
        <v>589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665</v>
      </c>
      <c r="B187" s="271" t="s">
        <v>594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665</v>
      </c>
      <c r="B188" s="271" t="s">
        <v>599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665</v>
      </c>
      <c r="B189" s="271" t="s">
        <v>604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665</v>
      </c>
      <c r="B190" s="271" t="s">
        <v>609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665</v>
      </c>
      <c r="B191" s="271" t="s">
        <v>614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665</v>
      </c>
      <c r="B192" s="271" t="s">
        <v>618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665</v>
      </c>
      <c r="B193" s="271" t="s">
        <v>622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665</v>
      </c>
      <c r="B194" s="271" t="s">
        <v>626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665</v>
      </c>
      <c r="B195" s="271" t="s">
        <v>630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665</v>
      </c>
      <c r="B196" s="271" t="s">
        <v>634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665</v>
      </c>
      <c r="B197" s="271" t="s">
        <v>638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665</v>
      </c>
      <c r="B198" s="271" t="s">
        <v>641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665</v>
      </c>
      <c r="B199" s="271" t="s">
        <v>644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665</v>
      </c>
      <c r="B200" s="271" t="s">
        <v>647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665</v>
      </c>
      <c r="B201" s="271" t="s">
        <v>650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665</v>
      </c>
      <c r="B202" s="271" t="s">
        <v>653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665</v>
      </c>
      <c r="B203" s="271" t="s">
        <v>656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665</v>
      </c>
      <c r="B204" s="271" t="s">
        <v>658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665</v>
      </c>
      <c r="B205" s="271" t="s">
        <v>661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667</v>
      </c>
      <c r="B206" s="278" t="s">
        <v>668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667</v>
      </c>
      <c r="B207" s="271" t="s">
        <v>324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667</v>
      </c>
      <c r="B208" s="271" t="s">
        <v>337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667</v>
      </c>
      <c r="B209" s="271" t="s">
        <v>350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667</v>
      </c>
      <c r="B210" s="271" t="s">
        <v>362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667</v>
      </c>
      <c r="B211" s="271" t="s">
        <v>374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667</v>
      </c>
      <c r="B212" s="271" t="s">
        <v>386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667</v>
      </c>
      <c r="B213" s="271" t="s">
        <v>398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667</v>
      </c>
      <c r="B214" s="271" t="s">
        <v>411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667</v>
      </c>
      <c r="B215" s="271" t="s">
        <v>422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667</v>
      </c>
      <c r="B216" s="271" t="s">
        <v>433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667</v>
      </c>
      <c r="B217" s="271" t="s">
        <v>444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667</v>
      </c>
      <c r="B218" s="271" t="s">
        <v>455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667</v>
      </c>
      <c r="B219" s="271" t="s">
        <v>466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667</v>
      </c>
      <c r="B220" s="271" t="s">
        <v>477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667</v>
      </c>
      <c r="B221" s="271" t="s">
        <v>487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667</v>
      </c>
      <c r="B222" s="271" t="s">
        <v>497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667</v>
      </c>
      <c r="B223" s="271" t="s">
        <v>507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667</v>
      </c>
      <c r="B224" s="271" t="s">
        <v>517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667</v>
      </c>
      <c r="B225" s="271" t="s">
        <v>526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667</v>
      </c>
      <c r="B226" s="271" t="s">
        <v>535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667</v>
      </c>
      <c r="B227" s="271" t="s">
        <v>543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667</v>
      </c>
      <c r="B228" s="271" t="s">
        <v>550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667</v>
      </c>
      <c r="B229" s="271" t="s">
        <v>557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667</v>
      </c>
      <c r="B230" s="271" t="s">
        <v>564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667</v>
      </c>
      <c r="B231" s="271" t="s">
        <v>571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667</v>
      </c>
      <c r="B232" s="271" t="s">
        <v>578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667</v>
      </c>
      <c r="B233" s="271" t="s">
        <v>585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667</v>
      </c>
      <c r="B234" s="271" t="s">
        <v>590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667</v>
      </c>
      <c r="B235" s="271" t="s">
        <v>595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667</v>
      </c>
      <c r="B236" s="271" t="s">
        <v>600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667</v>
      </c>
      <c r="B237" s="271" t="s">
        <v>605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667</v>
      </c>
      <c r="B238" s="271" t="s">
        <v>610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667</v>
      </c>
      <c r="B239" s="271" t="s">
        <v>615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667</v>
      </c>
      <c r="B240" s="271" t="s">
        <v>619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667</v>
      </c>
      <c r="B241" s="271" t="s">
        <v>623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667</v>
      </c>
      <c r="B242" s="271" t="s">
        <v>627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667</v>
      </c>
      <c r="B243" s="271" t="s">
        <v>631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667</v>
      </c>
      <c r="B244" s="287" t="s">
        <v>635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669</v>
      </c>
      <c r="B245" s="278" t="s">
        <v>670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669</v>
      </c>
      <c r="B246" s="271" t="s">
        <v>325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669</v>
      </c>
      <c r="B247" s="271" t="s">
        <v>671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669</v>
      </c>
      <c r="B248" s="271" t="s">
        <v>672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669</v>
      </c>
      <c r="B249" s="271" t="s">
        <v>363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669</v>
      </c>
      <c r="B250" s="271" t="s">
        <v>375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669</v>
      </c>
      <c r="B251" s="271" t="s">
        <v>387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669</v>
      </c>
      <c r="B252" s="271" t="s">
        <v>399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669</v>
      </c>
      <c r="B253" s="271" t="s">
        <v>412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669</v>
      </c>
      <c r="B254" s="271" t="s">
        <v>423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669</v>
      </c>
      <c r="B255" s="271" t="s">
        <v>434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669</v>
      </c>
      <c r="B256" s="271" t="s">
        <v>445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669</v>
      </c>
      <c r="B257" s="271" t="s">
        <v>456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669</v>
      </c>
      <c r="B258" s="271" t="s">
        <v>467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669</v>
      </c>
      <c r="B259" s="271" t="s">
        <v>478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669</v>
      </c>
      <c r="B260" s="271" t="s">
        <v>488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669</v>
      </c>
      <c r="B261" s="271" t="s">
        <v>498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669</v>
      </c>
      <c r="B262" s="271" t="s">
        <v>508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669</v>
      </c>
      <c r="B263" s="271" t="s">
        <v>518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669</v>
      </c>
      <c r="B264" s="271" t="s">
        <v>527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669</v>
      </c>
      <c r="B265" s="271" t="s">
        <v>536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669</v>
      </c>
      <c r="B266" s="271" t="s">
        <v>544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669</v>
      </c>
      <c r="B267" s="271" t="s">
        <v>551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669</v>
      </c>
      <c r="B268" s="271" t="s">
        <v>558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669</v>
      </c>
      <c r="B269" s="271" t="s">
        <v>565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669</v>
      </c>
      <c r="B270" s="271" t="s">
        <v>572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669</v>
      </c>
      <c r="B271" s="271" t="s">
        <v>579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669</v>
      </c>
      <c r="B272" s="271" t="s">
        <v>586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669</v>
      </c>
      <c r="B273" s="271" t="s">
        <v>591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669</v>
      </c>
      <c r="B274" s="271" t="s">
        <v>596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669</v>
      </c>
      <c r="B275" s="271" t="s">
        <v>601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669</v>
      </c>
      <c r="B276" s="271" t="s">
        <v>606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669</v>
      </c>
      <c r="B277" s="271" t="s">
        <v>611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669</v>
      </c>
      <c r="B278" s="271" t="s">
        <v>616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669</v>
      </c>
      <c r="B279" s="271" t="s">
        <v>620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669</v>
      </c>
      <c r="B280" s="271" t="s">
        <v>624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669</v>
      </c>
      <c r="B281" s="271" t="s">
        <v>628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669</v>
      </c>
      <c r="B282" s="271" t="s">
        <v>632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669</v>
      </c>
      <c r="B283" s="271" t="s">
        <v>636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669</v>
      </c>
      <c r="B284" s="271" t="s">
        <v>639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669</v>
      </c>
      <c r="B285" s="271" t="s">
        <v>642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669</v>
      </c>
      <c r="B286" s="271" t="s">
        <v>645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669</v>
      </c>
      <c r="B287" s="271" t="s">
        <v>648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669</v>
      </c>
      <c r="B288" s="271" t="s">
        <v>651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669</v>
      </c>
      <c r="B289" s="287" t="s">
        <v>654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673</v>
      </c>
      <c r="B290" s="278" t="s">
        <v>674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673</v>
      </c>
      <c r="B291" s="271" t="s">
        <v>326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673</v>
      </c>
      <c r="B292" s="271" t="s">
        <v>675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673</v>
      </c>
      <c r="B293" s="271" t="s">
        <v>676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673</v>
      </c>
      <c r="B294" s="271" t="s">
        <v>677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673</v>
      </c>
      <c r="B295" s="271" t="s">
        <v>364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673</v>
      </c>
      <c r="B296" s="271" t="s">
        <v>376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673</v>
      </c>
      <c r="B297" s="271" t="s">
        <v>388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673</v>
      </c>
      <c r="B298" s="271" t="s">
        <v>400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673</v>
      </c>
      <c r="B299" s="271" t="s">
        <v>413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673</v>
      </c>
      <c r="B300" s="271" t="s">
        <v>424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673</v>
      </c>
      <c r="B301" s="271" t="s">
        <v>435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673</v>
      </c>
      <c r="B302" s="271" t="s">
        <v>446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673</v>
      </c>
      <c r="B303" s="271" t="s">
        <v>457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673</v>
      </c>
      <c r="B304" s="271" t="s">
        <v>468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673</v>
      </c>
      <c r="B305" s="271" t="s">
        <v>479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673</v>
      </c>
      <c r="B306" s="271" t="s">
        <v>489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673</v>
      </c>
      <c r="B307" s="271" t="s">
        <v>499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673</v>
      </c>
      <c r="B308" s="271" t="s">
        <v>509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673</v>
      </c>
      <c r="B309" s="271" t="s">
        <v>519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673</v>
      </c>
      <c r="B310" s="271" t="s">
        <v>528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673</v>
      </c>
      <c r="B311" s="271" t="s">
        <v>537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673</v>
      </c>
      <c r="B312" s="271" t="s">
        <v>545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673</v>
      </c>
      <c r="B313" s="271" t="s">
        <v>552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673</v>
      </c>
      <c r="B314" s="271" t="s">
        <v>559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673</v>
      </c>
      <c r="B315" s="271" t="s">
        <v>566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673</v>
      </c>
      <c r="B316" s="287" t="s">
        <v>573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459</v>
      </c>
      <c r="B317" s="278" t="s">
        <v>678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459</v>
      </c>
      <c r="B318" s="271" t="s">
        <v>679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459</v>
      </c>
      <c r="B319" s="271" t="s">
        <v>680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459</v>
      </c>
      <c r="B320" s="271" t="s">
        <v>353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459</v>
      </c>
      <c r="B321" s="271" t="s">
        <v>365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459</v>
      </c>
      <c r="B322" s="271" t="s">
        <v>377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459</v>
      </c>
      <c r="B323" s="271" t="s">
        <v>389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459</v>
      </c>
      <c r="B324" s="271" t="s">
        <v>401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459</v>
      </c>
      <c r="B325" s="271" t="s">
        <v>414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459</v>
      </c>
      <c r="B326" s="271" t="s">
        <v>425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459</v>
      </c>
      <c r="B327" s="271" t="s">
        <v>436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459</v>
      </c>
      <c r="B328" s="271" t="s">
        <v>447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459</v>
      </c>
      <c r="B329" s="271" t="s">
        <v>458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459</v>
      </c>
      <c r="B330" s="271" t="s">
        <v>469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459</v>
      </c>
      <c r="B331" s="271" t="s">
        <v>480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459</v>
      </c>
      <c r="B332" s="271" t="s">
        <v>490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459</v>
      </c>
      <c r="B333" s="271" t="s">
        <v>500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459</v>
      </c>
      <c r="B334" s="271" t="s">
        <v>510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459</v>
      </c>
      <c r="B335" s="271" t="s">
        <v>520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459</v>
      </c>
      <c r="B336" s="271" t="s">
        <v>529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459</v>
      </c>
      <c r="B337" s="287" t="s">
        <v>538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470</v>
      </c>
      <c r="B338" s="278" t="s">
        <v>681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470</v>
      </c>
      <c r="B339" s="271" t="s">
        <v>682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470</v>
      </c>
      <c r="B340" s="271" t="s">
        <v>683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470</v>
      </c>
      <c r="B341" s="271" t="s">
        <v>684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470</v>
      </c>
      <c r="B342" s="271" t="s">
        <v>366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470</v>
      </c>
      <c r="B343" s="271" t="s">
        <v>378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470</v>
      </c>
      <c r="B344" s="287" t="s">
        <v>390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win10A</cp:lastModifiedBy>
  <cp:lastPrinted>2017-02-10T06:38:27Z</cp:lastPrinted>
  <dcterms:created xsi:type="dcterms:W3CDTF">2015-07-13T07:17:23Z</dcterms:created>
  <dcterms:modified xsi:type="dcterms:W3CDTF">2025-04-09T08:16:46Z</dcterms:modified>
</cp:coreProperties>
</file>