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465" yWindow="300" windowWidth="13620" windowHeight="12180" tabRatio="875" firstSheet="20"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抵押权清单" sheetId="80"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比较法-公寓" sheetId="75" r:id="rId43"/>
    <sheet name="不动产比较法-商业" sheetId="33" state="hidden" r:id="rId44"/>
    <sheet name="不动产收益法-商业" sheetId="15" r:id="rId45"/>
    <sheet name="不动产收益法-车库" sheetId="78" state="hidden" r:id="rId46"/>
    <sheet name="资料" sheetId="74" r:id="rId47"/>
    <sheet name="案例-土地" sheetId="73" r:id="rId48"/>
    <sheet name="住宅-案例" sheetId="76" r:id="rId49"/>
    <sheet name="其他-案例" sheetId="77" r:id="rId50"/>
  </sheets>
  <externalReferences>
    <externalReference r:id="rId51"/>
    <externalReference r:id="rId52"/>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42" hidden="1">'不动产比较法-公寓'!$A$1:$L$49</definedName>
    <definedName name="_xlnm._FilterDatabase" localSheetId="43"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42">'不动产比较法-公寓'!$A$1:$K$54,'不动产比较法-公寓'!$A$57:$M$131</definedName>
    <definedName name="_xlnm.Print_Area" localSheetId="43">'不动产比较法-商业'!$A$1:$K$54,'不动产比较法-商业'!$A$57:$M$131</definedName>
    <definedName name="_xlnm.Print_Area" localSheetId="35">'不动产比较法-住宅'!$A$1:$K$54,'不动产比较法-住宅'!$A$57:$M$131</definedName>
    <definedName name="_xlnm.Print_Area" localSheetId="45">'不动产收益法-车库'!$A$1:$F$43,'不动产收益法-车库'!$H$3:$M$29,'不动产收益法-车库'!$A$46:$F$70,'不动产收益法-车库'!$I$46:$M$60</definedName>
    <definedName name="_xlnm.Print_Area" localSheetId="44">'不动产收益法-商业'!$A$1:$F$43,'不动产收益法-商业'!$H$3:$M$29,'不动产收益法-商业'!$A$46:$F$70,'不动产收益法-商业'!$I$46:$M$60</definedName>
    <definedName name="_xlnm.Print_Area" localSheetId="34">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42">'不动产比较法-公寓'!$B$88:$M$88</definedName>
    <definedName name="住宅朝向">'不动产比较法-住宅'!$B$88:$M$88</definedName>
    <definedName name="住宅房型" localSheetId="42">'不动产比较法-公寓'!$B$118:$M$118</definedName>
    <definedName name="住宅房型">'不动产比较法-住宅'!$B$118:$M$118</definedName>
    <definedName name="住宅公共部分装修" localSheetId="42">'不动产比较法-公寓'!$B$109:$M$109</definedName>
    <definedName name="住宅公共部分装修">'不动产比较法-住宅'!$B$109:$M$109</definedName>
    <definedName name="住宅基础设施水平" localSheetId="42">'不动产比较法-公寓'!$B$116:$M$116</definedName>
    <definedName name="住宅基础设施水平">'不动产比较法-住宅'!$B$116:$M$116</definedName>
    <definedName name="住宅建筑结构" localSheetId="42">'不动产比较法-公寓'!$B$105:$M$105</definedName>
    <definedName name="住宅建筑结构">'不动产比较法-住宅'!$B$105:$M$105</definedName>
    <definedName name="住宅建筑类型" localSheetId="42">'不动产比较法-公寓'!$B$100:$M$100</definedName>
    <definedName name="住宅建筑类型">'不动产比较法-住宅'!$B$100:$M$100</definedName>
    <definedName name="住宅建筑品质" localSheetId="42">'不动产比较法-公寓'!$B$107:$M$107</definedName>
    <definedName name="住宅建筑品质">'不动产比较法-住宅'!$B$107:$M$107</definedName>
    <definedName name="住宅交易情况" localSheetId="42">'不动产比较法-公寓'!$A$61:$M$61</definedName>
    <definedName name="住宅交易情况">'不动产比较法-住宅'!$A$61:$M$61</definedName>
    <definedName name="住宅楼层" localSheetId="42">'不动产比较法-公寓'!$B$86:$M$86</definedName>
    <definedName name="住宅楼层">'不动产比较法-住宅'!$B$86:$M$86</definedName>
    <definedName name="住宅内部装修" localSheetId="42">'不动产比较法-公寓'!$B$122:$M$122</definedName>
    <definedName name="住宅内部装修">'不动产比较法-住宅'!$B$122:$M$122</definedName>
    <definedName name="住宅物业管理" localSheetId="42">'不动产比较法-公寓'!$B$114:$M$114</definedName>
    <definedName name="住宅物业管理">'不动产比较法-住宅'!$B$114:$M$114</definedName>
    <definedName name="住宅用途" localSheetId="42">'不动产比较法-公寓'!$B$63:$M$63</definedName>
    <definedName name="住宅用途">'不动产比较法-住宅'!$B$63:$M$63</definedName>
    <definedName name="住宅主力户型面积" localSheetId="42">'不动产比较法-公寓'!$B$120:$M$120</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K21" i="1" l="1"/>
  <c r="I45" i="39"/>
  <c r="G45" i="39"/>
  <c r="E45" i="39"/>
  <c r="C45" i="39"/>
  <c r="I37" i="74" l="1"/>
  <c r="I30" i="74"/>
  <c r="I31" i="74" s="1"/>
  <c r="I29" i="74"/>
  <c r="J29" i="74"/>
  <c r="I26" i="74"/>
  <c r="M4" i="72" l="1"/>
  <c r="I47" i="75" l="1"/>
  <c r="G47" i="75"/>
  <c r="E47" i="75"/>
  <c r="I11" i="75"/>
  <c r="G11" i="75"/>
  <c r="E11" i="75"/>
  <c r="I5" i="75"/>
  <c r="G5" i="75"/>
  <c r="E5" i="75"/>
  <c r="E49" i="80" l="1"/>
  <c r="D49" i="80" s="1"/>
  <c r="J49" i="80"/>
  <c r="J48" i="80"/>
  <c r="E48" i="80"/>
  <c r="D48" i="80" s="1"/>
  <c r="I47" i="21"/>
  <c r="G47" i="21"/>
  <c r="E47" i="21"/>
  <c r="I11" i="21"/>
  <c r="G11" i="21"/>
  <c r="E11" i="21"/>
  <c r="C11" i="21"/>
  <c r="C11" i="75" s="1"/>
  <c r="I7" i="21"/>
  <c r="G7" i="21"/>
  <c r="E7" i="21"/>
  <c r="I5" i="21"/>
  <c r="G5" i="21"/>
  <c r="E5" i="21"/>
  <c r="E18" i="80" l="1"/>
  <c r="D18" i="80"/>
  <c r="F18" i="72"/>
  <c r="AA22" i="77"/>
  <c r="M37" i="15"/>
  <c r="M36" i="15"/>
  <c r="M35" i="15"/>
  <c r="M38" i="15" s="1"/>
  <c r="N55" i="72" l="1"/>
  <c r="Q73" i="78"/>
  <c r="Q60" i="78"/>
  <c r="D60" i="78"/>
  <c r="Q59" i="78"/>
  <c r="K59" i="78"/>
  <c r="P75" i="78" s="1"/>
  <c r="F58" i="78"/>
  <c r="Q52" i="78"/>
  <c r="J50" i="78"/>
  <c r="J51" i="78" s="1"/>
  <c r="M47" i="78"/>
  <c r="F33" i="78"/>
  <c r="F60" i="78" s="1"/>
  <c r="F31" i="78"/>
  <c r="F23" i="78"/>
  <c r="D24" i="78" s="1"/>
  <c r="F21" i="78"/>
  <c r="F20" i="78"/>
  <c r="M19" i="78"/>
  <c r="F18" i="78"/>
  <c r="M17" i="78"/>
  <c r="F15" i="78"/>
  <c r="W23" i="1"/>
  <c r="W22" i="1"/>
  <c r="W24" i="1" s="1"/>
  <c r="U7" i="1" s="1"/>
  <c r="C145" i="75"/>
  <c r="J142" i="75"/>
  <c r="J140" i="75"/>
  <c r="K145" i="75" s="1"/>
  <c r="K139" i="75"/>
  <c r="B130" i="75"/>
  <c r="B128" i="75"/>
  <c r="B126" i="75"/>
  <c r="D125" i="75"/>
  <c r="E125" i="75" s="1"/>
  <c r="F125" i="75" s="1"/>
  <c r="G125" i="75" s="1"/>
  <c r="E123" i="75"/>
  <c r="F123" i="75" s="1"/>
  <c r="G123" i="75" s="1"/>
  <c r="H123" i="75" s="1"/>
  <c r="I123" i="75" s="1"/>
  <c r="J123" i="75" s="1"/>
  <c r="K123" i="75" s="1"/>
  <c r="L123" i="75" s="1"/>
  <c r="M123" i="75" s="1"/>
  <c r="D123" i="75"/>
  <c r="F122" i="75"/>
  <c r="E122" i="75"/>
  <c r="D122" i="75"/>
  <c r="C122" i="75"/>
  <c r="D119" i="75"/>
  <c r="E119" i="75" s="1"/>
  <c r="F119" i="75" s="1"/>
  <c r="G119" i="75" s="1"/>
  <c r="H119" i="75" s="1"/>
  <c r="I119" i="75" s="1"/>
  <c r="J119" i="75" s="1"/>
  <c r="K119" i="75" s="1"/>
  <c r="L119" i="75" s="1"/>
  <c r="M119" i="75" s="1"/>
  <c r="D117" i="75"/>
  <c r="E117" i="75" s="1"/>
  <c r="F117" i="75" s="1"/>
  <c r="G117" i="75" s="1"/>
  <c r="G116" i="75"/>
  <c r="F116" i="75"/>
  <c r="E116" i="75"/>
  <c r="D116" i="75"/>
  <c r="C116" i="75"/>
  <c r="D115" i="75"/>
  <c r="E115" i="75" s="1"/>
  <c r="F115" i="75" s="1"/>
  <c r="G115" i="75" s="1"/>
  <c r="H115" i="75" s="1"/>
  <c r="I115" i="75" s="1"/>
  <c r="J115" i="75" s="1"/>
  <c r="K115" i="75" s="1"/>
  <c r="L115" i="75" s="1"/>
  <c r="M115" i="75" s="1"/>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B98" i="75"/>
  <c r="B96" i="75"/>
  <c r="B94" i="75"/>
  <c r="B92" i="75"/>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B72" i="75"/>
  <c r="B70" i="75"/>
  <c r="D69" i="75"/>
  <c r="E69" i="75" s="1"/>
  <c r="M67" i="75"/>
  <c r="L67" i="75"/>
  <c r="K67" i="75"/>
  <c r="J67" i="75"/>
  <c r="I67" i="75"/>
  <c r="H67" i="75"/>
  <c r="G67" i="75"/>
  <c r="F67" i="75"/>
  <c r="E67" i="75"/>
  <c r="D67" i="75"/>
  <c r="C67" i="75"/>
  <c r="C63" i="75"/>
  <c r="J9" i="75" s="1"/>
  <c r="AC9" i="75" s="1"/>
  <c r="I54" i="75"/>
  <c r="J54" i="75" s="1"/>
  <c r="G54" i="75"/>
  <c r="H54" i="75" s="1"/>
  <c r="E54" i="75"/>
  <c r="F54" i="75" s="1"/>
  <c r="P49" i="75"/>
  <c r="P48" i="75"/>
  <c r="K48" i="75"/>
  <c r="V47" i="75"/>
  <c r="T47" i="75"/>
  <c r="R47" i="75"/>
  <c r="P47" i="75"/>
  <c r="Q46" i="75"/>
  <c r="Z46" i="75" s="1"/>
  <c r="J46" i="75"/>
  <c r="AC46" i="75" s="1"/>
  <c r="H46" i="75"/>
  <c r="AB46" i="75" s="1"/>
  <c r="F46" i="75"/>
  <c r="AA46" i="75" s="1"/>
  <c r="Q45" i="75"/>
  <c r="Z45" i="75" s="1"/>
  <c r="J45" i="75"/>
  <c r="AC45" i="75" s="1"/>
  <c r="H45" i="75"/>
  <c r="F45" i="75"/>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J37" i="75"/>
  <c r="AC37" i="75" s="1"/>
  <c r="H37" i="75"/>
  <c r="AB37" i="75" s="1"/>
  <c r="F37" i="75"/>
  <c r="AA37" i="75" s="1"/>
  <c r="Q36" i="75"/>
  <c r="Z36" i="75" s="1"/>
  <c r="J36" i="75"/>
  <c r="AC36" i="75" s="1"/>
  <c r="H36" i="75"/>
  <c r="AB36" i="75" s="1"/>
  <c r="F36" i="75"/>
  <c r="AA36" i="75" s="1"/>
  <c r="Q35" i="75"/>
  <c r="Z35" i="75" s="1"/>
  <c r="J35" i="75"/>
  <c r="AC35" i="75" s="1"/>
  <c r="H35" i="75"/>
  <c r="AB35" i="75" s="1"/>
  <c r="F35" i="75"/>
  <c r="AA35" i="75" s="1"/>
  <c r="Q34" i="75"/>
  <c r="Z34" i="75" s="1"/>
  <c r="J34" i="75"/>
  <c r="AC34" i="75" s="1"/>
  <c r="H34" i="75"/>
  <c r="AB34" i="75" s="1"/>
  <c r="F34" i="75"/>
  <c r="AA34" i="75" s="1"/>
  <c r="Q33" i="75"/>
  <c r="Z33" i="75" s="1"/>
  <c r="J33" i="75"/>
  <c r="AC33" i="75" s="1"/>
  <c r="H33" i="75"/>
  <c r="AB33" i="75" s="1"/>
  <c r="F33" i="75"/>
  <c r="AA33" i="75" s="1"/>
  <c r="Q32" i="75"/>
  <c r="Z32" i="75" s="1"/>
  <c r="Q31" i="75"/>
  <c r="Z31" i="75" s="1"/>
  <c r="J31" i="75"/>
  <c r="AC31" i="75" s="1"/>
  <c r="H31" i="75"/>
  <c r="AB31" i="75" s="1"/>
  <c r="F31" i="75"/>
  <c r="AA31" i="75" s="1"/>
  <c r="Q30" i="75"/>
  <c r="Z30" i="75" s="1"/>
  <c r="J30" i="75"/>
  <c r="AC30" i="75" s="1"/>
  <c r="H30" i="75"/>
  <c r="AB30" i="75" s="1"/>
  <c r="F30" i="75"/>
  <c r="AA30" i="75" s="1"/>
  <c r="Q29" i="75"/>
  <c r="Z29" i="75" s="1"/>
  <c r="J29" i="75"/>
  <c r="AC29" i="75" s="1"/>
  <c r="H29" i="75"/>
  <c r="AB29" i="75" s="1"/>
  <c r="F29" i="75"/>
  <c r="AA29" i="75" s="1"/>
  <c r="Q28" i="75"/>
  <c r="Z28" i="75" s="1"/>
  <c r="J28" i="75"/>
  <c r="AC28" i="75" s="1"/>
  <c r="H28" i="75"/>
  <c r="AB28" i="75" s="1"/>
  <c r="F28" i="75"/>
  <c r="AA28" i="75" s="1"/>
  <c r="Q27" i="75"/>
  <c r="Z27" i="75" s="1"/>
  <c r="J27" i="75"/>
  <c r="AC27" i="75" s="1"/>
  <c r="H27" i="75"/>
  <c r="AB27" i="75" s="1"/>
  <c r="F27" i="75"/>
  <c r="AA27" i="75" s="1"/>
  <c r="Q26" i="75"/>
  <c r="Z26" i="75" s="1"/>
  <c r="J26" i="75"/>
  <c r="AC26" i="75" s="1"/>
  <c r="H26" i="75"/>
  <c r="AB26" i="75" s="1"/>
  <c r="F26" i="75"/>
  <c r="AA26" i="75" s="1"/>
  <c r="Q25" i="75"/>
  <c r="Z25" i="75" s="1"/>
  <c r="J25" i="75"/>
  <c r="AC25" i="75" s="1"/>
  <c r="H25" i="75"/>
  <c r="AB25" i="75" s="1"/>
  <c r="F25" i="75"/>
  <c r="AA25" i="75" s="1"/>
  <c r="Q23" i="75"/>
  <c r="Z23" i="75" s="1"/>
  <c r="J23" i="75"/>
  <c r="AC23" i="75" s="1"/>
  <c r="H23" i="75"/>
  <c r="AB23" i="75" s="1"/>
  <c r="F23" i="75"/>
  <c r="AA23" i="75" s="1"/>
  <c r="C23" i="75"/>
  <c r="Q21" i="75"/>
  <c r="Z21" i="75" s="1"/>
  <c r="J21" i="75"/>
  <c r="AC21" i="75" s="1"/>
  <c r="H21" i="75"/>
  <c r="AB21" i="75" s="1"/>
  <c r="F21" i="75"/>
  <c r="AA21" i="75" s="1"/>
  <c r="C21" i="75"/>
  <c r="Q19" i="75"/>
  <c r="Z19" i="75" s="1"/>
  <c r="J19" i="75"/>
  <c r="AC19" i="75" s="1"/>
  <c r="H19" i="75"/>
  <c r="AB19" i="75" s="1"/>
  <c r="F19" i="75"/>
  <c r="AA19" i="75" s="1"/>
  <c r="C19" i="75"/>
  <c r="Q17" i="75"/>
  <c r="Z17" i="75" s="1"/>
  <c r="J17" i="75"/>
  <c r="AC17" i="75" s="1"/>
  <c r="H17" i="75"/>
  <c r="AB17" i="75" s="1"/>
  <c r="F17" i="75"/>
  <c r="C17" i="75"/>
  <c r="Q15" i="75"/>
  <c r="Z15" i="75" s="1"/>
  <c r="J15" i="75"/>
  <c r="AC15" i="75" s="1"/>
  <c r="H15" i="75"/>
  <c r="AB15" i="75" s="1"/>
  <c r="F15" i="75"/>
  <c r="AA15" i="75" s="1"/>
  <c r="C15" i="75"/>
  <c r="Q14" i="75"/>
  <c r="Z14" i="75" s="1"/>
  <c r="J14" i="75"/>
  <c r="AC14" i="75" s="1"/>
  <c r="H14" i="75"/>
  <c r="AB14" i="75" s="1"/>
  <c r="F14" i="75"/>
  <c r="AA14" i="75" s="1"/>
  <c r="Q13" i="75"/>
  <c r="Z13" i="75" s="1"/>
  <c r="J13" i="75"/>
  <c r="AC13" i="75" s="1"/>
  <c r="H13" i="75"/>
  <c r="AB13" i="75" s="1"/>
  <c r="F13" i="75"/>
  <c r="AA13" i="75" s="1"/>
  <c r="Q12" i="75"/>
  <c r="Z12" i="75" s="1"/>
  <c r="J12" i="75"/>
  <c r="AC12" i="75" s="1"/>
  <c r="H12" i="75"/>
  <c r="AB12" i="75" s="1"/>
  <c r="F12" i="75"/>
  <c r="AA12" i="75" s="1"/>
  <c r="Q11" i="75"/>
  <c r="Z11" i="75" s="1"/>
  <c r="Q10" i="75"/>
  <c r="Z10" i="75" s="1"/>
  <c r="J10" i="75"/>
  <c r="AC10" i="75" s="1"/>
  <c r="H10" i="75"/>
  <c r="AB10" i="75" s="1"/>
  <c r="F10" i="75"/>
  <c r="AA10" i="75" s="1"/>
  <c r="Q9" i="75"/>
  <c r="Z9" i="75" s="1"/>
  <c r="H9" i="75"/>
  <c r="AB9" i="75" s="1"/>
  <c r="J8" i="75"/>
  <c r="W8" i="75" s="1"/>
  <c r="H8" i="75"/>
  <c r="AB8" i="75" s="1"/>
  <c r="F8" i="75"/>
  <c r="S8" i="75" s="1"/>
  <c r="F69" i="75" l="1"/>
  <c r="F11" i="75"/>
  <c r="AA11" i="75" s="1"/>
  <c r="F101" i="75"/>
  <c r="G101" i="75" s="1"/>
  <c r="H101" i="75" s="1"/>
  <c r="I101" i="75" s="1"/>
  <c r="J101" i="75" s="1"/>
  <c r="K101" i="75" s="1"/>
  <c r="L101" i="75" s="1"/>
  <c r="M101" i="75" s="1"/>
  <c r="H32" i="75"/>
  <c r="AB32" i="75" s="1"/>
  <c r="J32" i="75"/>
  <c r="AC32" i="75" s="1"/>
  <c r="F32" i="75"/>
  <c r="AA32" i="75" s="1"/>
  <c r="K143" i="75"/>
  <c r="H11" i="75"/>
  <c r="AB11" i="75" s="1"/>
  <c r="U8" i="75"/>
  <c r="D22" i="78"/>
  <c r="D23" i="78"/>
  <c r="L46" i="78"/>
  <c r="P62" i="78"/>
  <c r="F9" i="75"/>
  <c r="AA9" i="75" s="1"/>
  <c r="AA8" i="75"/>
  <c r="AC8" i="75"/>
  <c r="U9" i="75"/>
  <c r="S10" i="75"/>
  <c r="W10" i="75"/>
  <c r="S12" i="75"/>
  <c r="W12" i="75"/>
  <c r="U13" i="75"/>
  <c r="S14" i="75"/>
  <c r="W14" i="75"/>
  <c r="S15" i="75"/>
  <c r="W15" i="75"/>
  <c r="AA17" i="75"/>
  <c r="S17" i="75"/>
  <c r="W9" i="75"/>
  <c r="U10" i="75"/>
  <c r="S11" i="75"/>
  <c r="U12" i="75"/>
  <c r="S13" i="75"/>
  <c r="W13" i="75"/>
  <c r="U14" i="75"/>
  <c r="U15" i="75"/>
  <c r="W17" i="75"/>
  <c r="S19" i="75"/>
  <c r="W19" i="75"/>
  <c r="S21" i="75"/>
  <c r="W21" i="75"/>
  <c r="S23" i="75"/>
  <c r="W23" i="75"/>
  <c r="U25" i="75"/>
  <c r="S26"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AB45" i="75"/>
  <c r="U45" i="75"/>
  <c r="U17" i="75"/>
  <c r="U19" i="75"/>
  <c r="U21" i="75"/>
  <c r="U23" i="75"/>
  <c r="S25" i="75"/>
  <c r="W25" i="75"/>
  <c r="U26" i="75"/>
  <c r="S27" i="75"/>
  <c r="W27" i="75"/>
  <c r="U28" i="75"/>
  <c r="S29" i="75"/>
  <c r="W29" i="75"/>
  <c r="U30" i="75"/>
  <c r="S31" i="75"/>
  <c r="W31" i="75"/>
  <c r="S33" i="75"/>
  <c r="W33" i="75"/>
  <c r="U34" i="75"/>
  <c r="S35" i="75"/>
  <c r="W35" i="75"/>
  <c r="U36" i="75"/>
  <c r="S37" i="75"/>
  <c r="W37" i="75"/>
  <c r="U38" i="75"/>
  <c r="S39" i="75"/>
  <c r="W39" i="75"/>
  <c r="U40" i="75"/>
  <c r="S41" i="75"/>
  <c r="W41" i="75"/>
  <c r="U42" i="75"/>
  <c r="S43" i="75"/>
  <c r="W43" i="75"/>
  <c r="U44" i="75"/>
  <c r="AA45" i="75"/>
  <c r="S45" i="75"/>
  <c r="S46" i="75"/>
  <c r="W46" i="75"/>
  <c r="K141" i="75"/>
  <c r="W45" i="75"/>
  <c r="U46" i="75"/>
  <c r="K144" i="75"/>
  <c r="G4" i="74"/>
  <c r="H4" i="74" s="1"/>
  <c r="G5" i="74" l="1"/>
  <c r="U32" i="75"/>
  <c r="G69" i="75"/>
  <c r="H69" i="75" s="1"/>
  <c r="I69" i="75" s="1"/>
  <c r="J69" i="75" s="1"/>
  <c r="K69" i="75" s="1"/>
  <c r="L69" i="75" s="1"/>
  <c r="M69" i="75" s="1"/>
  <c r="J11" i="75"/>
  <c r="U11" i="75"/>
  <c r="S9" i="75"/>
  <c r="AC11" i="75" l="1"/>
  <c r="W11" i="75"/>
  <c r="M13" i="3"/>
  <c r="J9" i="72"/>
  <c r="AN13" i="3" s="1"/>
  <c r="J7" i="72"/>
  <c r="AD13" i="3" s="1"/>
  <c r="K5" i="72"/>
  <c r="J5" i="72"/>
  <c r="J3" i="72"/>
  <c r="M40" i="72"/>
  <c r="M36" i="72"/>
  <c r="J8" i="72" s="1"/>
  <c r="AL13" i="3" s="1"/>
  <c r="M33" i="72"/>
  <c r="J4" i="72" s="1"/>
  <c r="M5" i="72" s="1"/>
  <c r="M27" i="72"/>
  <c r="M26" i="72" s="1"/>
  <c r="M25" i="72" s="1"/>
  <c r="M24" i="72" s="1"/>
  <c r="J10" i="72" l="1"/>
  <c r="O13" i="3"/>
  <c r="N14" i="1"/>
  <c r="N8" i="1"/>
  <c r="I13" i="3"/>
  <c r="F122" i="21"/>
  <c r="E122" i="21"/>
  <c r="D122" i="21"/>
  <c r="C122" i="21"/>
  <c r="G116" i="21"/>
  <c r="F116" i="21"/>
  <c r="E116" i="21"/>
  <c r="D116" i="21"/>
  <c r="C116" i="21"/>
  <c r="E72" i="39" l="1"/>
  <c r="F72" i="39" s="1"/>
  <c r="G72" i="39" s="1"/>
  <c r="H72" i="39" s="1"/>
  <c r="I72" i="39" s="1"/>
  <c r="D72" i="39"/>
  <c r="G126" i="39"/>
  <c r="F126" i="39"/>
  <c r="E126" i="39"/>
  <c r="D126" i="39"/>
  <c r="C126" i="39"/>
  <c r="G124" i="39"/>
  <c r="F124" i="39"/>
  <c r="E124" i="39"/>
  <c r="D124" i="39"/>
  <c r="C124" i="39"/>
  <c r="I48" i="39"/>
  <c r="G48" i="39"/>
  <c r="E48" i="39"/>
  <c r="D119" i="39" l="1"/>
  <c r="E119" i="39" s="1"/>
  <c r="F119" i="39" s="1"/>
  <c r="I40" i="39"/>
  <c r="G40" i="39"/>
  <c r="E40" i="39"/>
  <c r="I13" i="39"/>
  <c r="G13" i="39"/>
  <c r="E13" i="39"/>
  <c r="I9" i="39"/>
  <c r="G9" i="39"/>
  <c r="E9" i="39"/>
  <c r="I7" i="39"/>
  <c r="G7" i="39"/>
  <c r="E7" i="39"/>
  <c r="B35" i="1"/>
  <c r="F17" i="78" s="1"/>
  <c r="N7" i="1"/>
  <c r="E18" i="72"/>
  <c r="D3" i="4" l="1"/>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K3" i="70" l="1"/>
  <c r="R5" i="70"/>
  <c r="P5" i="70"/>
  <c r="T5" i="70"/>
  <c r="W5" i="70" s="1"/>
  <c r="O3" i="70"/>
  <c r="V5" i="70"/>
  <c r="R8" i="70"/>
  <c r="R6" i="70"/>
  <c r="R7" i="70"/>
  <c r="P9" i="70"/>
  <c r="T6" i="70"/>
  <c r="W6" i="70" s="1"/>
  <c r="T8" i="70"/>
  <c r="W8" i="70" s="1"/>
  <c r="T7" i="70"/>
  <c r="W7" i="70" s="1"/>
  <c r="V8" i="70"/>
  <c r="V6" i="70"/>
  <c r="V7" i="70"/>
  <c r="P29" i="70"/>
  <c r="T27" i="70"/>
  <c r="W27" i="70" s="1"/>
  <c r="T28" i="70"/>
  <c r="W28" i="70" s="1"/>
  <c r="T26" i="70"/>
  <c r="W26" i="70" s="1"/>
  <c r="E21" i="46"/>
  <c r="S7" i="70"/>
  <c r="S8" i="70"/>
  <c r="S6" i="70"/>
  <c r="U7" i="70"/>
  <c r="U8" i="70"/>
  <c r="U6" i="70"/>
  <c r="P15" i="70"/>
  <c r="S26" i="70"/>
  <c r="S27" i="70"/>
  <c r="S28" i="70"/>
  <c r="U27" i="70"/>
  <c r="U28"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C18" i="69" l="1"/>
  <c r="C15" i="69"/>
  <c r="G23"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C25" i="59" s="1"/>
  <c r="C24"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A26" i="51" s="1"/>
  <c r="B19" i="63" s="1"/>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F29" i="59" s="1"/>
  <c r="P29" i="59"/>
  <c r="E29" i="59" s="1"/>
  <c r="O29" i="59"/>
  <c r="C29" i="59" s="1"/>
  <c r="D29" i="59" s="1"/>
  <c r="N29" i="59"/>
  <c r="X27" i="59" s="1"/>
  <c r="D90" i="59"/>
  <c r="F89" i="59"/>
  <c r="F88" i="59" s="1"/>
  <c r="F87" i="59" s="1"/>
  <c r="E89" i="59"/>
  <c r="E88" i="59" s="1"/>
  <c r="E87" i="59" s="1"/>
  <c r="C89" i="59"/>
  <c r="D89" i="59" s="1"/>
  <c r="B89" i="59"/>
  <c r="B88" i="59"/>
  <c r="B87" i="59" s="1"/>
  <c r="D86" i="59"/>
  <c r="F85" i="59"/>
  <c r="F84" i="59" s="1"/>
  <c r="F83" i="59" s="1"/>
  <c r="E85" i="59"/>
  <c r="E84" i="59" s="1"/>
  <c r="E83" i="59" s="1"/>
  <c r="C85" i="59"/>
  <c r="B85" i="59"/>
  <c r="B84" i="59"/>
  <c r="B83" i="59" s="1"/>
  <c r="D82" i="59"/>
  <c r="Q81" i="59"/>
  <c r="P81" i="59"/>
  <c r="O81" i="59"/>
  <c r="N81" i="59"/>
  <c r="F81" i="59"/>
  <c r="V81" i="59" s="1"/>
  <c r="E81" i="59"/>
  <c r="C81" i="59"/>
  <c r="T81" i="59" s="1"/>
  <c r="B81" i="59"/>
  <c r="Q80" i="59"/>
  <c r="P80" i="59"/>
  <c r="O80" i="59"/>
  <c r="N80" i="59"/>
  <c r="F80" i="59"/>
  <c r="F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C69" i="59"/>
  <c r="T69" i="59" s="1"/>
  <c r="B69" i="59"/>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C61" i="59" s="1"/>
  <c r="T61"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AB29" i="59" s="1"/>
  <c r="P40" i="59"/>
  <c r="O40" i="59"/>
  <c r="Y40" i="59" s="1"/>
  <c r="Z40" i="59" s="1"/>
  <c r="N40" i="59"/>
  <c r="Q39" i="59"/>
  <c r="P39" i="59"/>
  <c r="O39" i="59"/>
  <c r="N39" i="59"/>
  <c r="X39" i="59" s="1"/>
  <c r="Q38" i="59"/>
  <c r="P38" i="59"/>
  <c r="O38" i="59"/>
  <c r="N38" i="59"/>
  <c r="X38" i="59" s="1"/>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Y26" i="59"/>
  <c r="Z26" i="59" s="1"/>
  <c r="AB28" i="59"/>
  <c r="AA40" i="59"/>
  <c r="F56" i="59"/>
  <c r="F57" i="59" s="1"/>
  <c r="V57" i="59" s="1"/>
  <c r="F64" i="59"/>
  <c r="F65" i="59" s="1"/>
  <c r="V65" i="59" s="1"/>
  <c r="C44" i="59"/>
  <c r="C45" i="59" s="1"/>
  <c r="C48" i="59"/>
  <c r="D48" i="59" s="1"/>
  <c r="D51" i="59"/>
  <c r="D59" i="59"/>
  <c r="Q68" i="59"/>
  <c r="O69" i="59"/>
  <c r="C68" i="59"/>
  <c r="C67" i="59" s="1"/>
  <c r="P69" i="59"/>
  <c r="C72" i="59"/>
  <c r="D72" i="59" s="1"/>
  <c r="D73" i="59"/>
  <c r="C80" i="59"/>
  <c r="C88" i="59"/>
  <c r="D88" i="59" s="1"/>
  <c r="U16" i="4"/>
  <c r="S16" i="4"/>
  <c r="Q16" i="4"/>
  <c r="O16" i="4"/>
  <c r="M16" i="4"/>
  <c r="K16" i="4"/>
  <c r="C71" i="59"/>
  <c r="D71" i="59" s="1"/>
  <c r="O68" i="59"/>
  <c r="D60" i="59"/>
  <c r="D44" i="59"/>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c r="F95" i="40" s="1"/>
  <c r="F27" i="40"/>
  <c r="AA27" i="40" s="1"/>
  <c r="Q31" i="39"/>
  <c r="Z31" i="39" s="1"/>
  <c r="D104" i="39"/>
  <c r="E104" i="39" s="1"/>
  <c r="F104" i="39" s="1"/>
  <c r="G20" i="20"/>
  <c r="B88" i="46" s="1"/>
  <c r="C22" i="20"/>
  <c r="B100" i="46" s="1"/>
  <c r="S18" i="36"/>
  <c r="B5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G19" i="4"/>
  <c r="F12" i="1" s="1"/>
  <c r="AP12" i="1" s="1"/>
  <c r="F19" i="4"/>
  <c r="E19" i="4"/>
  <c r="F8" i="1" s="1"/>
  <c r="AP8" i="1" s="1"/>
  <c r="B2" i="52"/>
  <c r="B15" i="52" s="1"/>
  <c r="F41" i="4"/>
  <c r="J52" i="40" s="1"/>
  <c r="H42" i="46"/>
  <c r="H41" i="46"/>
  <c r="H40" i="46"/>
  <c r="H39" i="46"/>
  <c r="H38" i="46"/>
  <c r="H37" i="46"/>
  <c r="C10" i="46"/>
  <c r="C11" i="46" s="1"/>
  <c r="C9" i="4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D70" i="36"/>
  <c r="H22" i="36"/>
  <c r="AB22" i="36" s="1"/>
  <c r="D68" i="36"/>
  <c r="E68" i="36" s="1"/>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B57" i="35"/>
  <c r="F11" i="35" s="1"/>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B58" i="46"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H46" i="21" s="1"/>
  <c r="B128" i="21"/>
  <c r="F45" i="21" s="1"/>
  <c r="AA45" i="21" s="1"/>
  <c r="B126" i="21"/>
  <c r="H44" i="21" s="1"/>
  <c r="U44" i="21" s="1"/>
  <c r="B98" i="21"/>
  <c r="B96" i="21"/>
  <c r="F30" i="21" s="1"/>
  <c r="B94" i="21"/>
  <c r="B92" i="21"/>
  <c r="J28" i="21" s="1"/>
  <c r="B90" i="21"/>
  <c r="B74" i="21"/>
  <c r="F14" i="21" s="1"/>
  <c r="B72" i="21"/>
  <c r="B70" i="21"/>
  <c r="F12" i="21" s="1"/>
  <c r="F10" i="21"/>
  <c r="AA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E22"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0" i="6" s="1"/>
  <c r="N5" i="3"/>
  <c r="O5" i="3"/>
  <c r="F21" i="6" s="1"/>
  <c r="E21" i="6" s="1"/>
  <c r="D3" i="75" s="1"/>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AB8" i="21" s="1"/>
  <c r="H10" i="21"/>
  <c r="U10" i="21" s="1"/>
  <c r="H39" i="21"/>
  <c r="AB39" i="21" s="1"/>
  <c r="J34" i="21"/>
  <c r="W34" i="21" s="1"/>
  <c r="H36" i="21"/>
  <c r="U36" i="21" s="1"/>
  <c r="F35" i="21"/>
  <c r="AA35" i="21" s="1"/>
  <c r="J33" i="21"/>
  <c r="W33" i="21" s="1"/>
  <c r="H33" i="21"/>
  <c r="U33" i="21" s="1"/>
  <c r="F33" i="21"/>
  <c r="AA33" i="21" s="1"/>
  <c r="J10" i="21"/>
  <c r="AC10" i="21" s="1"/>
  <c r="H26" i="21"/>
  <c r="AB26" i="21" s="1"/>
  <c r="J26" i="21"/>
  <c r="W26" i="21" s="1"/>
  <c r="F26" i="21"/>
  <c r="AA26" i="21" s="1"/>
  <c r="S41" i="21"/>
  <c r="S10" i="39"/>
  <c r="U30" i="37"/>
  <c r="E103" i="37"/>
  <c r="F103" i="37" s="1"/>
  <c r="G103" i="37" s="1"/>
  <c r="H103" i="37" s="1"/>
  <c r="I103" i="37" s="1"/>
  <c r="J103" i="37" s="1"/>
  <c r="K103" i="37" s="1"/>
  <c r="L103" i="37" s="1"/>
  <c r="M103" i="37" s="1"/>
  <c r="F29" i="36"/>
  <c r="AA29" i="36" s="1"/>
  <c r="F16" i="36"/>
  <c r="AA16" i="36" s="1"/>
  <c r="U22" i="36"/>
  <c r="AC31" i="36"/>
  <c r="U31" i="35"/>
  <c r="S31" i="35"/>
  <c r="W31" i="35"/>
  <c r="F36" i="34"/>
  <c r="S36" i="34" s="1"/>
  <c r="W39" i="34"/>
  <c r="H39" i="33"/>
  <c r="AB39" i="33" s="1"/>
  <c r="W38" i="33"/>
  <c r="S40" i="33"/>
  <c r="S33" i="33"/>
  <c r="AB27" i="35"/>
  <c r="W10" i="40"/>
  <c r="U11" i="40"/>
  <c r="U36" i="40"/>
  <c r="F11" i="21"/>
  <c r="S11" i="21" s="1"/>
  <c r="U36" i="39"/>
  <c r="H32" i="33"/>
  <c r="AB32" i="33" s="1"/>
  <c r="H11" i="21"/>
  <c r="U11" i="21" s="1"/>
  <c r="J11" i="21"/>
  <c r="W11" i="21" s="1"/>
  <c r="F85" i="40"/>
  <c r="G85" i="40" s="1"/>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c r="F12" i="36"/>
  <c r="S12" i="36"/>
  <c r="AB8" i="36"/>
  <c r="H16" i="35"/>
  <c r="U16" i="35" s="1"/>
  <c r="H33" i="35"/>
  <c r="AB33" i="35" s="1"/>
  <c r="W8" i="35"/>
  <c r="F35" i="37"/>
  <c r="AA35" i="37" s="1"/>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U9" i="34"/>
  <c r="J28" i="34"/>
  <c r="W28" i="34" s="1"/>
  <c r="S38" i="33"/>
  <c r="F36" i="33"/>
  <c r="S36" i="33" s="1"/>
  <c r="F19" i="33"/>
  <c r="S19" i="33" s="1"/>
  <c r="J19" i="33"/>
  <c r="AC19" i="33" s="1"/>
  <c r="S10" i="21"/>
  <c r="W40" i="33"/>
  <c r="F125" i="21"/>
  <c r="G125" i="21" s="1"/>
  <c r="AB30" i="36"/>
  <c r="H29" i="35"/>
  <c r="AB29" i="35" s="1"/>
  <c r="S34" i="37"/>
  <c r="AA34" i="37"/>
  <c r="AC43" i="34"/>
  <c r="J19" i="34"/>
  <c r="AC19" i="34" s="1"/>
  <c r="H37" i="33"/>
  <c r="AB37" i="33" s="1"/>
  <c r="S37" i="33"/>
  <c r="AC42" i="34"/>
  <c r="W42" i="34"/>
  <c r="AA42" i="34"/>
  <c r="AC38" i="34"/>
  <c r="W38" i="34"/>
  <c r="AA38" i="34"/>
  <c r="S38" i="34"/>
  <c r="J37" i="33"/>
  <c r="W37" i="33" s="1"/>
  <c r="J42" i="21"/>
  <c r="AC42" i="21" s="1"/>
  <c r="J44" i="34"/>
  <c r="AC44" i="34" s="1"/>
  <c r="F44" i="34"/>
  <c r="S44" i="34" s="1"/>
  <c r="J10" i="35"/>
  <c r="W10" i="35" s="1"/>
  <c r="AL5" i="3"/>
  <c r="BQ13" i="3"/>
  <c r="H28" i="21"/>
  <c r="AB28" i="21" s="1"/>
  <c r="J46" i="21"/>
  <c r="W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H45" i="21"/>
  <c r="U45" i="21" s="1"/>
  <c r="J27" i="33"/>
  <c r="AC27" i="33" s="1"/>
  <c r="F13" i="33"/>
  <c r="S13" i="33" s="1"/>
  <c r="J29" i="33"/>
  <c r="W29" i="33" s="1"/>
  <c r="J31" i="33"/>
  <c r="AC31" i="33" s="1"/>
  <c r="H31" i="33"/>
  <c r="U31" i="33" s="1"/>
  <c r="J45" i="33"/>
  <c r="W45" i="33" s="1"/>
  <c r="F45" i="33"/>
  <c r="S45" i="33"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W40" i="37" s="1"/>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S46" i="33"/>
  <c r="U36" i="37"/>
  <c r="AC13" i="36"/>
  <c r="AB31" i="33"/>
  <c r="AB27" i="33"/>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BA531" i="3"/>
  <c r="BA509" i="3"/>
  <c r="BA505" i="3"/>
  <c r="BA501" i="3"/>
  <c r="BA487" i="3"/>
  <c r="BA19" i="3"/>
  <c r="BA562" i="3"/>
  <c r="BA558" i="3"/>
  <c r="BA554" i="3"/>
  <c r="BA546" i="3"/>
  <c r="BA540" i="3"/>
  <c r="BA532" i="3"/>
  <c r="BA524" i="3"/>
  <c r="BA516" i="3"/>
  <c r="BA508" i="3"/>
  <c r="BA498" i="3"/>
  <c r="BA488" i="3"/>
  <c r="BA20" i="3"/>
  <c r="G562" i="3"/>
  <c r="G558" i="3"/>
  <c r="G554" i="3"/>
  <c r="G546" i="3"/>
  <c r="BA542" i="3"/>
  <c r="AC542" i="3"/>
  <c r="G542" i="3" s="1"/>
  <c r="BQ542" i="3"/>
  <c r="BL542" i="3" s="1"/>
  <c r="BQ568" i="3"/>
  <c r="BQ566" i="3"/>
  <c r="BL566" i="3" s="1"/>
  <c r="BQ564" i="3"/>
  <c r="BQ562" i="3"/>
  <c r="BL562" i="3" s="1"/>
  <c r="AZ562" i="3" s="1"/>
  <c r="BQ560" i="3"/>
  <c r="BL560" i="3" s="1"/>
  <c r="BQ558" i="3"/>
  <c r="BL558" i="3" s="1"/>
  <c r="BQ556" i="3"/>
  <c r="BL556" i="3" s="1"/>
  <c r="BQ554" i="3"/>
  <c r="BQ552" i="3"/>
  <c r="BL552" i="3" s="1"/>
  <c r="BQ550" i="3"/>
  <c r="BQ548" i="3"/>
  <c r="BQ546" i="3"/>
  <c r="BQ544" i="3"/>
  <c r="BL544" i="3" s="1"/>
  <c r="G538" i="3"/>
  <c r="G534" i="3"/>
  <c r="G530" i="3"/>
  <c r="G526" i="3"/>
  <c r="G522" i="3"/>
  <c r="BQ540" i="3"/>
  <c r="BL540" i="3" s="1"/>
  <c r="BQ538" i="3"/>
  <c r="BL538" i="3" s="1"/>
  <c r="BQ536" i="3"/>
  <c r="BQ534" i="3"/>
  <c r="BL534" i="3" s="1"/>
  <c r="BQ532" i="3"/>
  <c r="BL532" i="3" s="1"/>
  <c r="BQ530" i="3"/>
  <c r="BQ528" i="3"/>
  <c r="BQ526" i="3"/>
  <c r="BL526" i="3" s="1"/>
  <c r="BQ524" i="3"/>
  <c r="BQ522" i="3"/>
  <c r="BL522" i="3" s="1"/>
  <c r="BQ520" i="3"/>
  <c r="BL520" i="3" s="1"/>
  <c r="BQ518" i="3"/>
  <c r="BQ516" i="3"/>
  <c r="BL516" i="3" s="1"/>
  <c r="BQ514" i="3"/>
  <c r="BQ512" i="3"/>
  <c r="BQ510" i="3"/>
  <c r="BL510" i="3" s="1"/>
  <c r="BQ508" i="3"/>
  <c r="BL508" i="3" s="1"/>
  <c r="AZ508" i="3" s="1"/>
  <c r="AC506" i="3"/>
  <c r="G506" i="3" s="1"/>
  <c r="BQ506" i="3"/>
  <c r="G502" i="3"/>
  <c r="G498" i="3"/>
  <c r="BQ504" i="3"/>
  <c r="BQ502" i="3"/>
  <c r="BL502" i="3" s="1"/>
  <c r="BQ500" i="3"/>
  <c r="BL500" i="3" s="1"/>
  <c r="BQ498" i="3"/>
  <c r="BQ496" i="3"/>
  <c r="BL496" i="3" s="1"/>
  <c r="AC494" i="3"/>
  <c r="AC5" i="3" s="1"/>
  <c r="BQ494" i="3"/>
  <c r="G492" i="3"/>
  <c r="G488" i="3"/>
  <c r="G484" i="3"/>
  <c r="G20" i="3"/>
  <c r="BQ492" i="3"/>
  <c r="BL492" i="3" s="1"/>
  <c r="BQ490" i="3"/>
  <c r="BQ488" i="3"/>
  <c r="BL488" i="3" s="1"/>
  <c r="BQ486" i="3"/>
  <c r="BL486" i="3" s="1"/>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W23" i="35"/>
  <c r="AC8" i="37"/>
  <c r="S25" i="37"/>
  <c r="AC36" i="34"/>
  <c r="AC45" i="33"/>
  <c r="AC33" i="21"/>
  <c r="S39" i="33"/>
  <c r="F43" i="33"/>
  <c r="AA43" i="33"/>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J11" i="37"/>
  <c r="W11" i="37" s="1"/>
  <c r="E89" i="40"/>
  <c r="F21" i="40"/>
  <c r="S21" i="40" s="1"/>
  <c r="F89" i="40"/>
  <c r="G89"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AZ151" i="3" s="1"/>
  <c r="BA153" i="3"/>
  <c r="BL154" i="3"/>
  <c r="G155" i="3"/>
  <c r="BA157" i="3"/>
  <c r="BL158" i="3"/>
  <c r="G159" i="3"/>
  <c r="BA161" i="3"/>
  <c r="BL162" i="3"/>
  <c r="G163" i="3"/>
  <c r="BA165" i="3"/>
  <c r="AZ165" i="3" s="1"/>
  <c r="BL166" i="3"/>
  <c r="AZ166" i="3" s="1"/>
  <c r="G167" i="3"/>
  <c r="BA169" i="3"/>
  <c r="AZ169" i="3" s="1"/>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AZ200" i="3" s="1"/>
  <c r="BL201"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G374" i="3"/>
  <c r="G377" i="3"/>
  <c r="BL378" i="3"/>
  <c r="BA380" i="3"/>
  <c r="BA381" i="3"/>
  <c r="BL381" i="3"/>
  <c r="G382" i="3"/>
  <c r="G385" i="3"/>
  <c r="AZ154" i="3"/>
  <c r="AZ162" i="3"/>
  <c r="AZ203" i="3"/>
  <c r="G523" i="3"/>
  <c r="BL297" i="3"/>
  <c r="G298" i="3"/>
  <c r="BA300" i="3"/>
  <c r="BL301" i="3"/>
  <c r="G302" i="3"/>
  <c r="BA304" i="3"/>
  <c r="BL305" i="3"/>
  <c r="G306" i="3"/>
  <c r="BA308" i="3"/>
  <c r="AZ308" i="3" s="1"/>
  <c r="BL309" i="3"/>
  <c r="G310" i="3"/>
  <c r="BA310" i="3"/>
  <c r="AZ310" i="3" s="1"/>
  <c r="BL311" i="3"/>
  <c r="G312" i="3"/>
  <c r="BA312" i="3"/>
  <c r="AZ312" i="3" s="1"/>
  <c r="BL313" i="3"/>
  <c r="G314" i="3"/>
  <c r="BA314" i="3"/>
  <c r="BL315" i="3"/>
  <c r="AZ315" i="3" s="1"/>
  <c r="G316" i="3"/>
  <c r="BA316" i="3"/>
  <c r="BL317" i="3"/>
  <c r="G318" i="3"/>
  <c r="BA320" i="3"/>
  <c r="BL321" i="3"/>
  <c r="G322" i="3"/>
  <c r="BA324" i="3"/>
  <c r="BL325" i="3"/>
  <c r="AZ325" i="3" s="1"/>
  <c r="G326" i="3"/>
  <c r="BA328" i="3"/>
  <c r="BL329" i="3"/>
  <c r="G330" i="3"/>
  <c r="BA332" i="3"/>
  <c r="BL333" i="3"/>
  <c r="G334" i="3"/>
  <c r="BA336" i="3"/>
  <c r="BL337" i="3"/>
  <c r="G338" i="3"/>
  <c r="BA340" i="3"/>
  <c r="BL341" i="3"/>
  <c r="G342" i="3"/>
  <c r="BA344" i="3"/>
  <c r="AZ344" i="3" s="1"/>
  <c r="BL345" i="3"/>
  <c r="G346" i="3"/>
  <c r="BA348" i="3"/>
  <c r="AZ348" i="3" s="1"/>
  <c r="BL349" i="3"/>
  <c r="G350" i="3"/>
  <c r="BA352" i="3"/>
  <c r="AZ352" i="3" s="1"/>
  <c r="BL353" i="3"/>
  <c r="G354" i="3"/>
  <c r="BA356" i="3"/>
  <c r="BL357" i="3"/>
  <c r="G358" i="3"/>
  <c r="BA362" i="3"/>
  <c r="BL363" i="3"/>
  <c r="AZ363" i="3" s="1"/>
  <c r="G364" i="3"/>
  <c r="BA366" i="3"/>
  <c r="BL367" i="3"/>
  <c r="AZ321" i="3"/>
  <c r="AZ353" i="3"/>
  <c r="G368" i="3"/>
  <c r="BA370" i="3"/>
  <c r="BL371" i="3"/>
  <c r="G372" i="3"/>
  <c r="BA374" i="3"/>
  <c r="AZ374" i="3" s="1"/>
  <c r="BL375" i="3"/>
  <c r="G376" i="3"/>
  <c r="BA378" i="3"/>
  <c r="AZ378" i="3" s="1"/>
  <c r="BL379" i="3"/>
  <c r="G380" i="3"/>
  <c r="BA382" i="3"/>
  <c r="BL383" i="3"/>
  <c r="G384" i="3"/>
  <c r="AZ311" i="3"/>
  <c r="AZ361" i="3"/>
  <c r="F37" i="46"/>
  <c r="AB16" i="35"/>
  <c r="AA43" i="21"/>
  <c r="AA13" i="40"/>
  <c r="F77" i="40"/>
  <c r="G77" i="40" s="1"/>
  <c r="H77" i="40" s="1"/>
  <c r="I77" i="40" s="1"/>
  <c r="J77" i="40" s="1"/>
  <c r="K77" i="40" s="1"/>
  <c r="L77" i="40" s="1"/>
  <c r="M77" i="40" s="1"/>
  <c r="BH5" i="3"/>
  <c r="R16" i="4"/>
  <c r="D3" i="35"/>
  <c r="G4" i="4"/>
  <c r="J16" i="35"/>
  <c r="W16" i="35" s="1"/>
  <c r="AC26" i="36"/>
  <c r="W25" i="35"/>
  <c r="H11" i="37"/>
  <c r="AB11" i="37" s="1"/>
  <c r="U32" i="33"/>
  <c r="AA45" i="33"/>
  <c r="AB45" i="34"/>
  <c r="W44" i="33"/>
  <c r="W30" i="33"/>
  <c r="AC29" i="37"/>
  <c r="AC32" i="36"/>
  <c r="J33" i="34"/>
  <c r="AC33" i="34" s="1"/>
  <c r="AB36" i="34"/>
  <c r="J40" i="34"/>
  <c r="W40" i="34" s="1"/>
  <c r="F16" i="35"/>
  <c r="AA16" i="35" s="1"/>
  <c r="W42" i="33"/>
  <c r="J35" i="34"/>
  <c r="W35" i="34" s="1"/>
  <c r="S30" i="36"/>
  <c r="H16" i="36"/>
  <c r="AB16" i="36" s="1"/>
  <c r="H35" i="37"/>
  <c r="AB35" i="37" s="1"/>
  <c r="H32" i="21"/>
  <c r="U32" i="21" s="1"/>
  <c r="U26" i="21"/>
  <c r="J32" i="21"/>
  <c r="AC32"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S45" i="34"/>
  <c r="AC40" i="37"/>
  <c r="W27" i="33"/>
  <c r="S28" i="33"/>
  <c r="AA44" i="34"/>
  <c r="U29" i="35"/>
  <c r="W19" i="33"/>
  <c r="U43" i="34"/>
  <c r="AB43" i="34"/>
  <c r="S35" i="37"/>
  <c r="AB34" i="21"/>
  <c r="BL571" i="3"/>
  <c r="BA571" i="3"/>
  <c r="BL570" i="3"/>
  <c r="F42" i="21"/>
  <c r="AA42" i="21" s="1"/>
  <c r="AB40" i="33"/>
  <c r="U40" i="33"/>
  <c r="AA35" i="34"/>
  <c r="S35" i="34"/>
  <c r="E90" i="34"/>
  <c r="F90" i="34" s="1"/>
  <c r="G90" i="34" s="1"/>
  <c r="H27" i="34"/>
  <c r="AB27" i="34" s="1"/>
  <c r="AB8" i="35"/>
  <c r="U8" i="35"/>
  <c r="S9" i="35"/>
  <c r="J14" i="35"/>
  <c r="AC14" i="35" s="1"/>
  <c r="F14" i="35"/>
  <c r="AA14" i="35" s="1"/>
  <c r="H14" i="35"/>
  <c r="U14" i="35" s="1"/>
  <c r="E80" i="35"/>
  <c r="F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J34" i="39"/>
  <c r="AC34" i="39" s="1"/>
  <c r="F39" i="39"/>
  <c r="AA39" i="39" s="1"/>
  <c r="H39" i="39"/>
  <c r="AB39" i="39" s="1"/>
  <c r="J39" i="39"/>
  <c r="AC39" i="39" s="1"/>
  <c r="J29" i="35"/>
  <c r="AC29" i="35" s="1"/>
  <c r="F29" i="35"/>
  <c r="W30" i="36"/>
  <c r="AC30" i="36"/>
  <c r="F37" i="39"/>
  <c r="S37" i="39" s="1"/>
  <c r="H37" i="39"/>
  <c r="U37" i="39" s="1"/>
  <c r="J37" i="39"/>
  <c r="W37" i="39" s="1"/>
  <c r="BL568" i="3"/>
  <c r="BA568" i="3"/>
  <c r="AZ568" i="3" s="1"/>
  <c r="BL567" i="3"/>
  <c r="BA567" i="3"/>
  <c r="BL565" i="3"/>
  <c r="AZ565" i="3" s="1"/>
  <c r="BA564" i="3"/>
  <c r="BA563" i="3"/>
  <c r="AZ563" i="3" s="1"/>
  <c r="BL554" i="3"/>
  <c r="BA553" i="3"/>
  <c r="AZ553" i="3" s="1"/>
  <c r="BA552" i="3"/>
  <c r="BL549" i="3"/>
  <c r="AZ549" i="3" s="1"/>
  <c r="BA549" i="3"/>
  <c r="BL548" i="3"/>
  <c r="BA548" i="3"/>
  <c r="BL547" i="3"/>
  <c r="BA547" i="3"/>
  <c r="BL539" i="3"/>
  <c r="BA539" i="3"/>
  <c r="BA538" i="3"/>
  <c r="BL537" i="3"/>
  <c r="BA537" i="3"/>
  <c r="BL536" i="3"/>
  <c r="BA535" i="3"/>
  <c r="AZ535" i="3" s="1"/>
  <c r="BA534" i="3"/>
  <c r="BA533" i="3"/>
  <c r="AZ533" i="3" s="1"/>
  <c r="BL531" i="3"/>
  <c r="BL530" i="3"/>
  <c r="BA530" i="3"/>
  <c r="BL529" i="3"/>
  <c r="BA529" i="3"/>
  <c r="BL528" i="3"/>
  <c r="BA527" i="3"/>
  <c r="AZ527" i="3" s="1"/>
  <c r="BA526" i="3"/>
  <c r="BA525" i="3"/>
  <c r="AZ525" i="3" s="1"/>
  <c r="BL523" i="3"/>
  <c r="BA523" i="3"/>
  <c r="BA522" i="3"/>
  <c r="AZ522" i="3" s="1"/>
  <c r="BL521" i="3"/>
  <c r="BA519" i="3"/>
  <c r="AZ519" i="3" s="1"/>
  <c r="BL518" i="3"/>
  <c r="BA518" i="3"/>
  <c r="BL517" i="3"/>
  <c r="BA517" i="3"/>
  <c r="AZ517" i="3" s="1"/>
  <c r="BL515" i="3"/>
  <c r="BA515" i="3"/>
  <c r="BA514" i="3"/>
  <c r="BL513" i="3"/>
  <c r="BA513" i="3"/>
  <c r="BL512" i="3"/>
  <c r="BA511" i="3"/>
  <c r="BA510" i="3"/>
  <c r="BL509" i="3"/>
  <c r="BL507" i="3"/>
  <c r="BA507" i="3"/>
  <c r="AZ507" i="3" s="1"/>
  <c r="BL506" i="3"/>
  <c r="BA506" i="3"/>
  <c r="BL505" i="3"/>
  <c r="AZ505" i="3" s="1"/>
  <c r="BL504" i="3"/>
  <c r="BA504" i="3"/>
  <c r="BA503" i="3"/>
  <c r="BA500" i="3"/>
  <c r="BL499" i="3"/>
  <c r="BA499" i="3"/>
  <c r="AZ499" i="3" s="1"/>
  <c r="BL498" i="3"/>
  <c r="AZ498" i="3" s="1"/>
  <c r="BL497" i="3"/>
  <c r="BA497" i="3"/>
  <c r="BA496" i="3"/>
  <c r="BA495" i="3"/>
  <c r="BL494" i="3"/>
  <c r="BA494" i="3"/>
  <c r="G494" i="3"/>
  <c r="BA491" i="3"/>
  <c r="BL490" i="3"/>
  <c r="BA490" i="3"/>
  <c r="BL489" i="3"/>
  <c r="BA489" i="3"/>
  <c r="BL487" i="3"/>
  <c r="AZ487" i="3" s="1"/>
  <c r="BA486" i="3"/>
  <c r="BA485" i="3"/>
  <c r="BA483" i="3"/>
  <c r="AZ483" i="3" s="1"/>
  <c r="BA482" i="3"/>
  <c r="BL481" i="3"/>
  <c r="BJ5" i="3"/>
  <c r="BA481" i="3"/>
  <c r="AZ481" i="3" s="1"/>
  <c r="BB5" i="3"/>
  <c r="BL19" i="3"/>
  <c r="BA18" i="3"/>
  <c r="H38" i="34"/>
  <c r="U38" i="34" s="1"/>
  <c r="H30" i="40"/>
  <c r="AB30" i="40" s="1"/>
  <c r="G99" i="40"/>
  <c r="J30" i="40"/>
  <c r="AC30" i="40" s="1"/>
  <c r="F38" i="40"/>
  <c r="AA38" i="40" s="1"/>
  <c r="AA36" i="34"/>
  <c r="AB33" i="21"/>
  <c r="AB10" i="21"/>
  <c r="U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AC34" i="34"/>
  <c r="W34" i="34"/>
  <c r="AA39" i="34"/>
  <c r="S39" i="34"/>
  <c r="S43" i="34"/>
  <c r="E78" i="34"/>
  <c r="F15" i="34"/>
  <c r="S15" i="34" s="1"/>
  <c r="AC28" i="35"/>
  <c r="W28" i="35"/>
  <c r="J20" i="35"/>
  <c r="AC20" i="35" s="1"/>
  <c r="E72" i="35"/>
  <c r="F72" i="35" s="1"/>
  <c r="G72" i="35" s="1"/>
  <c r="H22" i="35"/>
  <c r="AB22" i="35" s="1"/>
  <c r="H23" i="35"/>
  <c r="U23" i="35" s="1"/>
  <c r="F23" i="35"/>
  <c r="AA23" i="35" s="1"/>
  <c r="U36" i="35"/>
  <c r="W12" i="36"/>
  <c r="AC12" i="36"/>
  <c r="U31" i="36"/>
  <c r="S8" i="37"/>
  <c r="AA8" i="37"/>
  <c r="F14" i="39"/>
  <c r="AA14" i="39" s="1"/>
  <c r="H14" i="39"/>
  <c r="AB14" i="39" s="1"/>
  <c r="J14" i="39"/>
  <c r="F16" i="39"/>
  <c r="AA16" i="39" s="1"/>
  <c r="H16" i="39"/>
  <c r="U16" i="39" s="1"/>
  <c r="J16" i="39"/>
  <c r="AC16"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U40" i="40" s="1"/>
  <c r="H34" i="40"/>
  <c r="U34" i="40" s="1"/>
  <c r="B41" i="1"/>
  <c r="J42" i="40"/>
  <c r="AC42" i="40" s="1"/>
  <c r="J40" i="40"/>
  <c r="AC40" i="40" s="1"/>
  <c r="J34" i="40"/>
  <c r="AC34" i="40" s="1"/>
  <c r="H16" i="40"/>
  <c r="AB16" i="40" s="1"/>
  <c r="H14" i="40"/>
  <c r="U14" i="40" s="1"/>
  <c r="F32" i="40"/>
  <c r="AA32" i="40" s="1"/>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J13" i="40"/>
  <c r="W13" i="40" s="1"/>
  <c r="AB14" i="40"/>
  <c r="AB37" i="34"/>
  <c r="U41" i="40"/>
  <c r="J23" i="40"/>
  <c r="AC23" i="40" s="1"/>
  <c r="F23" i="40"/>
  <c r="S23" i="40" s="1"/>
  <c r="AC15" i="40"/>
  <c r="AB16" i="39"/>
  <c r="AB23" i="35"/>
  <c r="H20" i="35"/>
  <c r="U20" i="35" s="1"/>
  <c r="F20" i="35"/>
  <c r="S20" i="35" s="1"/>
  <c r="H15" i="34"/>
  <c r="AB15" i="34" s="1"/>
  <c r="F78" i="34"/>
  <c r="G78" i="34" s="1"/>
  <c r="J15" i="34"/>
  <c r="W15" i="34" s="1"/>
  <c r="H41" i="33"/>
  <c r="U41" i="33" s="1"/>
  <c r="F30" i="40"/>
  <c r="AA30" i="40" s="1"/>
  <c r="H99" i="40"/>
  <c r="I99" i="40" s="1"/>
  <c r="J99" i="40" s="1"/>
  <c r="K99" i="40" s="1"/>
  <c r="L99" i="40" s="1"/>
  <c r="M99" i="40" s="1"/>
  <c r="AB38" i="34"/>
  <c r="AZ497" i="3"/>
  <c r="J29" i="39"/>
  <c r="AC29" i="39" s="1"/>
  <c r="S14" i="35"/>
  <c r="G99" i="37"/>
  <c r="H99" i="37" s="1"/>
  <c r="F33" i="37"/>
  <c r="S33" i="37" s="1"/>
  <c r="U46" i="34"/>
  <c r="AC30" i="34"/>
  <c r="AA14" i="34"/>
  <c r="W12" i="34"/>
  <c r="U29" i="33"/>
  <c r="AC13" i="33"/>
  <c r="U17" i="34"/>
  <c r="W32" i="33"/>
  <c r="H15" i="33"/>
  <c r="U15" i="33" s="1"/>
  <c r="AA11" i="33"/>
  <c r="AA40" i="21"/>
  <c r="W34" i="40"/>
  <c r="U42" i="40"/>
  <c r="W32" i="40"/>
  <c r="H25" i="40"/>
  <c r="AB25" i="40" s="1"/>
  <c r="F93" i="40"/>
  <c r="G93" i="40" s="1"/>
  <c r="J37" i="34"/>
  <c r="AC37" i="34" s="1"/>
  <c r="J36" i="33"/>
  <c r="S41" i="40"/>
  <c r="S16" i="39"/>
  <c r="AA15" i="34"/>
  <c r="J34" i="33"/>
  <c r="W29" i="35"/>
  <c r="W39" i="39"/>
  <c r="S39" i="39"/>
  <c r="AB46" i="39"/>
  <c r="W33" i="39"/>
  <c r="AA33" i="39"/>
  <c r="S33" i="39"/>
  <c r="U11" i="36"/>
  <c r="G80" i="35"/>
  <c r="H80" i="35" s="1"/>
  <c r="I80" i="35" s="1"/>
  <c r="J80" i="35" s="1"/>
  <c r="K80" i="35" s="1"/>
  <c r="L80" i="35" s="1"/>
  <c r="M80" i="35" s="1"/>
  <c r="W14" i="35"/>
  <c r="H90" i="34"/>
  <c r="I90" i="34" s="1"/>
  <c r="J90" i="34" s="1"/>
  <c r="K90" i="34" s="1"/>
  <c r="L90" i="34" s="1"/>
  <c r="M90" i="34" s="1"/>
  <c r="F27" i="34"/>
  <c r="S27" i="34" s="1"/>
  <c r="F32" i="37"/>
  <c r="U11" i="35"/>
  <c r="AB11" i="35"/>
  <c r="S46" i="34"/>
  <c r="U32" i="34"/>
  <c r="U14" i="34"/>
  <c r="AC14" i="34"/>
  <c r="U12" i="34"/>
  <c r="AB13" i="33"/>
  <c r="F17" i="34"/>
  <c r="AA17" i="34" s="1"/>
  <c r="J17" i="34"/>
  <c r="H11" i="34"/>
  <c r="AB11" i="34" s="1"/>
  <c r="J35" i="33"/>
  <c r="W35" i="33" s="1"/>
  <c r="S32" i="33"/>
  <c r="AC15" i="33"/>
  <c r="H11" i="33"/>
  <c r="U11" i="33" s="1"/>
  <c r="H10" i="33"/>
  <c r="U10" i="33" s="1"/>
  <c r="J10" i="33"/>
  <c r="W10" i="33" s="1"/>
  <c r="U11" i="37"/>
  <c r="AC13" i="40"/>
  <c r="J11" i="34"/>
  <c r="W11" i="34" s="1"/>
  <c r="S17" i="34"/>
  <c r="F25" i="40"/>
  <c r="AA25" i="40" s="1"/>
  <c r="J11" i="33"/>
  <c r="W11" i="33" s="1"/>
  <c r="H33" i="37"/>
  <c r="AB33" i="37" s="1"/>
  <c r="AC15" i="34"/>
  <c r="AB20" i="35"/>
  <c r="W23" i="40"/>
  <c r="B11" i="1"/>
  <c r="E11" i="1" s="1"/>
  <c r="K11" i="1"/>
  <c r="M11" i="1" s="1"/>
  <c r="B9" i="1"/>
  <c r="E9" i="1" s="1"/>
  <c r="B7" i="1"/>
  <c r="E7" i="1" s="1"/>
  <c r="AP6" i="1"/>
  <c r="AC25" i="36"/>
  <c r="S8" i="36"/>
  <c r="AA26" i="36"/>
  <c r="AA28" i="36"/>
  <c r="U25" i="36"/>
  <c r="H20" i="36"/>
  <c r="F68" i="36"/>
  <c r="G68" i="36" s="1"/>
  <c r="J20" i="36"/>
  <c r="AC20" i="36" s="1"/>
  <c r="F20" i="36"/>
  <c r="S20" i="36" s="1"/>
  <c r="F62" i="36"/>
  <c r="G62" i="36" s="1"/>
  <c r="J14" i="36"/>
  <c r="AC14" i="36" s="1"/>
  <c r="H14" i="36"/>
  <c r="F14" i="36"/>
  <c r="AA14" i="36" s="1"/>
  <c r="W20" i="36"/>
  <c r="U27" i="36"/>
  <c r="U32" i="36"/>
  <c r="AB12" i="36"/>
  <c r="U9" i="36"/>
  <c r="S33" i="36"/>
  <c r="AA27" i="36"/>
  <c r="S16" i="36"/>
  <c r="S29" i="36"/>
  <c r="AC33" i="35"/>
  <c r="AA13" i="35"/>
  <c r="S8" i="35"/>
  <c r="U33" i="35"/>
  <c r="S16" i="35"/>
  <c r="U9" i="35"/>
  <c r="W13" i="35"/>
  <c r="AC18" i="35"/>
  <c r="W18" i="35"/>
  <c r="U18" i="35"/>
  <c r="AB18" i="35"/>
  <c r="S30" i="35"/>
  <c r="AA35" i="35"/>
  <c r="AB30" i="35"/>
  <c r="S27" i="35"/>
  <c r="S28" i="35"/>
  <c r="F26" i="35"/>
  <c r="AA26" i="35" s="1"/>
  <c r="AB9" i="37"/>
  <c r="AA9" i="37"/>
  <c r="S17" i="37"/>
  <c r="W28" i="37"/>
  <c r="AB37" i="37"/>
  <c r="AA31" i="37"/>
  <c r="AA33" i="37"/>
  <c r="U32" i="37"/>
  <c r="J33" i="37"/>
  <c r="W33" i="37" s="1"/>
  <c r="I99" i="37"/>
  <c r="J99" i="37" s="1"/>
  <c r="K99" i="37" s="1"/>
  <c r="L99" i="37" s="1"/>
  <c r="M99" i="37" s="1"/>
  <c r="S29" i="37"/>
  <c r="J19" i="37"/>
  <c r="AC19" i="37" s="1"/>
  <c r="F19" i="37"/>
  <c r="AA19" i="37" s="1"/>
  <c r="H19" i="37"/>
  <c r="J17" i="37"/>
  <c r="AC17" i="37" s="1"/>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AC11" i="34"/>
  <c r="U11" i="34"/>
  <c r="AC40" i="34"/>
  <c r="W44" i="34"/>
  <c r="W19" i="34"/>
  <c r="W29" i="34"/>
  <c r="AC21" i="34"/>
  <c r="W21" i="34"/>
  <c r="AB21" i="34"/>
  <c r="U21" i="34"/>
  <c r="U27" i="34"/>
  <c r="U19" i="34"/>
  <c r="AB41" i="34"/>
  <c r="S13" i="34"/>
  <c r="AA41" i="34"/>
  <c r="U39" i="33"/>
  <c r="U37" i="33"/>
  <c r="S35" i="33"/>
  <c r="AB41"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S14" i="33"/>
  <c r="AC21" i="33"/>
  <c r="W21" i="33"/>
  <c r="W14" i="33"/>
  <c r="U25" i="33"/>
  <c r="AB21" i="33"/>
  <c r="U21" i="33"/>
  <c r="AA21" i="33"/>
  <c r="S21" i="33"/>
  <c r="AA44" i="33"/>
  <c r="AA36" i="33"/>
  <c r="W39" i="21"/>
  <c r="AC34" i="21"/>
  <c r="W43" i="21"/>
  <c r="AC26" i="21"/>
  <c r="J23" i="21"/>
  <c r="W23" i="21" s="1"/>
  <c r="F23" i="21"/>
  <c r="AA23" i="21" s="1"/>
  <c r="H23" i="21"/>
  <c r="AB23" i="21" s="1"/>
  <c r="AC11" i="21"/>
  <c r="W13" i="21"/>
  <c r="AA11" i="21"/>
  <c r="AC21" i="21"/>
  <c r="W21" i="21"/>
  <c r="W10" i="21"/>
  <c r="AC38" i="21"/>
  <c r="AB21" i="21"/>
  <c r="U21" i="21"/>
  <c r="W33" i="40"/>
  <c r="U33" i="40"/>
  <c r="S35" i="40"/>
  <c r="S14" i="40"/>
  <c r="AB13" i="40"/>
  <c r="S16" i="40"/>
  <c r="W11" i="40"/>
  <c r="AA21" i="40"/>
  <c r="U21" i="40"/>
  <c r="U25" i="40"/>
  <c r="W42" i="40"/>
  <c r="U35" i="40"/>
  <c r="F37" i="40"/>
  <c r="AA37" i="40" s="1"/>
  <c r="J37" i="40"/>
  <c r="H37" i="40"/>
  <c r="U37" i="40" s="1"/>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S25" i="40"/>
  <c r="F87" i="40"/>
  <c r="G87" i="40" s="1"/>
  <c r="F19" i="40"/>
  <c r="AA19" i="40" s="1"/>
  <c r="H19" i="40"/>
  <c r="J19" i="40"/>
  <c r="W17" i="40"/>
  <c r="AC17" i="40"/>
  <c r="F17" i="40"/>
  <c r="AA17" i="40" s="1"/>
  <c r="H17" i="40"/>
  <c r="U17" i="40" s="1"/>
  <c r="W21" i="40"/>
  <c r="AB40" i="40"/>
  <c r="U10" i="40"/>
  <c r="U27" i="40"/>
  <c r="AB27" i="40"/>
  <c r="S11" i="39"/>
  <c r="AC38" i="39"/>
  <c r="S14" i="39"/>
  <c r="AB15" i="39"/>
  <c r="U11" i="39"/>
  <c r="AB38" i="39"/>
  <c r="U31" i="39"/>
  <c r="AB31" i="39"/>
  <c r="S38" i="39"/>
  <c r="S22" i="31"/>
  <c r="B20" i="31" s="1"/>
  <c r="D96" i="9"/>
  <c r="M18" i="15"/>
  <c r="BA16" i="3"/>
  <c r="AZ16" i="3" s="1"/>
  <c r="BA17" i="3"/>
  <c r="AZ17" i="3" s="1"/>
  <c r="F3" i="35"/>
  <c r="K1" i="43"/>
  <c r="K1" i="12"/>
  <c r="G1" i="44"/>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S14" i="37"/>
  <c r="U13" i="37"/>
  <c r="C24" i="9"/>
  <c r="C25" i="9"/>
  <c r="B6" i="63"/>
  <c r="B46" i="50"/>
  <c r="B4" i="63" s="1"/>
  <c r="H89" i="46"/>
  <c r="H85" i="46"/>
  <c r="H90" i="46"/>
  <c r="H88" i="46"/>
  <c r="H86" i="46"/>
  <c r="K10" i="1"/>
  <c r="M10" i="1" s="1"/>
  <c r="S13" i="1"/>
  <c r="R13" i="1"/>
  <c r="B6" i="1"/>
  <c r="E6" i="1" s="1"/>
  <c r="B10" i="1"/>
  <c r="E10" i="1" s="1"/>
  <c r="B8" i="1"/>
  <c r="E8" i="1" s="1"/>
  <c r="B12" i="1"/>
  <c r="E12" i="1" s="1"/>
  <c r="G1" i="15"/>
  <c r="F66" i="36"/>
  <c r="G66" i="36" s="1"/>
  <c r="H18" i="36"/>
  <c r="U18" i="36" s="1"/>
  <c r="U16" i="36"/>
  <c r="S25"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15" i="33"/>
  <c r="AB25" i="21"/>
  <c r="W25" i="21"/>
  <c r="AA25" i="21"/>
  <c r="AA29" i="21"/>
  <c r="U27" i="21"/>
  <c r="W31" i="21"/>
  <c r="S27" i="21"/>
  <c r="AC27" i="21"/>
  <c r="W29" i="21"/>
  <c r="G95" i="40"/>
  <c r="J27" i="40"/>
  <c r="AC27" i="40" s="1"/>
  <c r="W30" i="40"/>
  <c r="S34" i="40"/>
  <c r="U38" i="40"/>
  <c r="S40" i="40"/>
  <c r="S42" i="40"/>
  <c r="G104" i="39"/>
  <c r="J31" i="39"/>
  <c r="W31" i="39" s="1"/>
  <c r="AB33" i="39"/>
  <c r="AC46" i="39"/>
  <c r="S34" i="39"/>
  <c r="W42" i="39"/>
  <c r="W36" i="39"/>
  <c r="AC37" i="39"/>
  <c r="U14" i="39"/>
  <c r="W16" i="39"/>
  <c r="W34" i="39"/>
  <c r="W10" i="39"/>
  <c r="W11" i="39"/>
  <c r="U42" i="39"/>
  <c r="S32" i="40"/>
  <c r="C27" i="39"/>
  <c r="C17" i="40"/>
  <c r="C19" i="40"/>
  <c r="C17" i="39"/>
  <c r="C19" i="39"/>
  <c r="C21" i="39"/>
  <c r="C23" i="40"/>
  <c r="B51" i="46"/>
  <c r="B54" i="46"/>
  <c r="B62" i="46"/>
  <c r="B65" i="46"/>
  <c r="B69" i="46"/>
  <c r="B56" i="46"/>
  <c r="B67" i="46"/>
  <c r="D24" i="15"/>
  <c r="S14" i="36"/>
  <c r="AA20" i="36"/>
  <c r="W14" i="36"/>
  <c r="U14" i="36"/>
  <c r="AB14" i="36"/>
  <c r="S26" i="35"/>
  <c r="S19" i="37"/>
  <c r="W19" i="37"/>
  <c r="AB19" i="37"/>
  <c r="U19" i="37"/>
  <c r="W17" i="37"/>
  <c r="AB25" i="34"/>
  <c r="AA25" i="34"/>
  <c r="S25" i="34"/>
  <c r="W25" i="34"/>
  <c r="AC25" i="34"/>
  <c r="AA23" i="34"/>
  <c r="S23" i="34"/>
  <c r="W23" i="34"/>
  <c r="U23" i="33"/>
  <c r="AB23" i="33"/>
  <c r="W23" i="33"/>
  <c r="AC23" i="33"/>
  <c r="AA23" i="33"/>
  <c r="W17" i="33"/>
  <c r="AC17" i="33"/>
  <c r="AA17" i="33"/>
  <c r="S17" i="33"/>
  <c r="AC39" i="40"/>
  <c r="W39" i="40"/>
  <c r="AB37" i="40"/>
  <c r="S37" i="40"/>
  <c r="AC29" i="40"/>
  <c r="W29" i="40"/>
  <c r="AA29" i="40"/>
  <c r="S29" i="40"/>
  <c r="AB19" i="40"/>
  <c r="U19" i="40"/>
  <c r="AT6" i="3"/>
  <c r="J18" i="36"/>
  <c r="W18" i="36" s="1"/>
  <c r="L20" i="6"/>
  <c r="C45" i="9"/>
  <c r="B7" i="66"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C20" i="59" s="1"/>
  <c r="D22" i="59"/>
  <c r="M10" i="44"/>
  <c r="E10" i="67"/>
  <c r="F14" i="67"/>
  <c r="E12" i="67"/>
  <c r="M26" i="15"/>
  <c r="I7" i="65"/>
  <c r="B13" i="67"/>
  <c r="B14" i="67"/>
  <c r="E11" i="67"/>
  <c r="F37" i="15"/>
  <c r="J4" i="65"/>
  <c r="J3" i="65"/>
  <c r="B10" i="67"/>
  <c r="N5" i="65"/>
  <c r="E13" i="67"/>
  <c r="E14" i="67"/>
  <c r="E8" i="67"/>
  <c r="F13" i="67"/>
  <c r="F8" i="67"/>
  <c r="I4" i="65"/>
  <c r="B11" i="67"/>
  <c r="L48" i="44"/>
  <c r="M6" i="15"/>
  <c r="F18" i="44"/>
  <c r="N3" i="65"/>
  <c r="B12" i="67"/>
  <c r="F10" i="67"/>
  <c r="F16" i="15"/>
  <c r="J7" i="65"/>
  <c r="F9" i="67"/>
  <c r="J15" i="15"/>
  <c r="F12" i="67"/>
  <c r="F8" i="15"/>
  <c r="B9" i="67"/>
  <c r="F42" i="15"/>
  <c r="B8" i="67"/>
  <c r="N4" i="65"/>
  <c r="I6" i="65"/>
  <c r="E9" i="67"/>
  <c r="N7" i="65"/>
  <c r="N6" i="65"/>
  <c r="F39" i="44"/>
  <c r="M28" i="15"/>
  <c r="M24" i="15"/>
  <c r="F11" i="67"/>
  <c r="W25" i="39" l="1"/>
  <c r="F41" i="39"/>
  <c r="AA41" i="39" s="1"/>
  <c r="U19" i="39"/>
  <c r="AA19" i="39"/>
  <c r="AC19" i="39"/>
  <c r="AC21" i="39"/>
  <c r="S39" i="40"/>
  <c r="S28" i="34"/>
  <c r="AA28" i="34"/>
  <c r="W19" i="40"/>
  <c r="AC19" i="40"/>
  <c r="AB17" i="33"/>
  <c r="S25" i="33"/>
  <c r="AB23" i="34"/>
  <c r="AC11" i="33"/>
  <c r="U36" i="33"/>
  <c r="AB11" i="33"/>
  <c r="W37" i="34"/>
  <c r="W20" i="35"/>
  <c r="U22" i="35"/>
  <c r="U30" i="40"/>
  <c r="U47" i="39"/>
  <c r="AC16" i="40"/>
  <c r="AB34" i="40"/>
  <c r="U16" i="40"/>
  <c r="W40" i="40"/>
  <c r="F72" i="9"/>
  <c r="F32" i="78"/>
  <c r="F59" i="78" s="1"/>
  <c r="F28" i="78"/>
  <c r="M18" i="78"/>
  <c r="AZ494" i="3"/>
  <c r="AZ504" i="3"/>
  <c r="AZ506" i="3"/>
  <c r="AZ510" i="3"/>
  <c r="AZ515" i="3"/>
  <c r="AZ523" i="3"/>
  <c r="AZ530" i="3"/>
  <c r="AZ539" i="3"/>
  <c r="AZ567" i="3"/>
  <c r="U28" i="33"/>
  <c r="AA36" i="35"/>
  <c r="AZ330" i="3"/>
  <c r="AZ146" i="3"/>
  <c r="AB44" i="33"/>
  <c r="AZ516" i="3"/>
  <c r="AZ558" i="3"/>
  <c r="AB28" i="36"/>
  <c r="F27" i="33"/>
  <c r="S27" i="33" s="1"/>
  <c r="J44" i="21"/>
  <c r="AB40" i="34"/>
  <c r="W8" i="34"/>
  <c r="F34" i="36"/>
  <c r="F24" i="36"/>
  <c r="U29" i="36"/>
  <c r="C29" i="39"/>
  <c r="U38" i="33"/>
  <c r="S34" i="34"/>
  <c r="W24" i="35"/>
  <c r="AC27" i="35"/>
  <c r="W22" i="36"/>
  <c r="F9" i="34"/>
  <c r="G568" i="3"/>
  <c r="G567" i="3"/>
  <c r="G566" i="3"/>
  <c r="G565" i="3"/>
  <c r="G563" i="3"/>
  <c r="G560" i="3"/>
  <c r="G557" i="3"/>
  <c r="G556" i="3"/>
  <c r="G548" i="3"/>
  <c r="G524" i="3"/>
  <c r="G519" i="3"/>
  <c r="G516" i="3"/>
  <c r="G514" i="3"/>
  <c r="G513" i="3"/>
  <c r="G505" i="3"/>
  <c r="G504" i="3"/>
  <c r="AZ538" i="3"/>
  <c r="AZ367" i="3"/>
  <c r="BL572" i="3"/>
  <c r="F34" i="15"/>
  <c r="F61" i="15" s="1"/>
  <c r="F34" i="78"/>
  <c r="F61" i="78" s="1"/>
  <c r="M20" i="78"/>
  <c r="G487" i="3"/>
  <c r="BL389" i="3"/>
  <c r="BA390" i="3"/>
  <c r="AZ390" i="3" s="1"/>
  <c r="BL391" i="3"/>
  <c r="BL393" i="3"/>
  <c r="BA394" i="3"/>
  <c r="AZ394" i="3" s="1"/>
  <c r="BA395" i="3"/>
  <c r="BL395" i="3"/>
  <c r="BA396" i="3"/>
  <c r="AZ396" i="3" s="1"/>
  <c r="BA397" i="3"/>
  <c r="BL397" i="3"/>
  <c r="BA399" i="3"/>
  <c r="BL399" i="3"/>
  <c r="BA400" i="3"/>
  <c r="AZ400" i="3" s="1"/>
  <c r="BL401" i="3"/>
  <c r="BA402" i="3"/>
  <c r="G448" i="3"/>
  <c r="G450" i="3"/>
  <c r="G452" i="3"/>
  <c r="G454" i="3"/>
  <c r="G456" i="3"/>
  <c r="G458" i="3"/>
  <c r="G460" i="3"/>
  <c r="G462" i="3"/>
  <c r="G464" i="3"/>
  <c r="G466" i="3"/>
  <c r="G468" i="3"/>
  <c r="G470" i="3"/>
  <c r="G472" i="3"/>
  <c r="G474" i="3"/>
  <c r="G476" i="3"/>
  <c r="G478" i="3"/>
  <c r="G480" i="3"/>
  <c r="BA297" i="3"/>
  <c r="AZ297" i="3" s="1"/>
  <c r="BA301" i="3"/>
  <c r="AZ301" i="3" s="1"/>
  <c r="BA318" i="3"/>
  <c r="BL330" i="3"/>
  <c r="BL332" i="3"/>
  <c r="AZ332" i="3" s="1"/>
  <c r="G333" i="3"/>
  <c r="BA335" i="3"/>
  <c r="AZ335" i="3" s="1"/>
  <c r="G341" i="3"/>
  <c r="BL342" i="3"/>
  <c r="AZ342" i="3" s="1"/>
  <c r="G345" i="3"/>
  <c r="BL346" i="3"/>
  <c r="AZ346" i="3" s="1"/>
  <c r="G347" i="3"/>
  <c r="BL351" i="3"/>
  <c r="G352" i="3"/>
  <c r="BL360" i="3"/>
  <c r="BA367" i="3"/>
  <c r="BA369" i="3"/>
  <c r="G370" i="3"/>
  <c r="BA371" i="3"/>
  <c r="BA383" i="3"/>
  <c r="AZ383" i="3" s="1"/>
  <c r="BA385" i="3"/>
  <c r="G129" i="3"/>
  <c r="G131" i="3"/>
  <c r="G1" i="78"/>
  <c r="AA18" i="35"/>
  <c r="S18" i="35"/>
  <c r="C79" i="59"/>
  <c r="D79" i="59" s="1"/>
  <c r="D80" i="59"/>
  <c r="U73" i="59"/>
  <c r="E72" i="59"/>
  <c r="E71" i="59" s="1"/>
  <c r="D85" i="59"/>
  <c r="C84" i="59"/>
  <c r="BA132" i="3"/>
  <c r="AZ132" i="3" s="1"/>
  <c r="BL132" i="3"/>
  <c r="BA133" i="3"/>
  <c r="AZ133" i="3" s="1"/>
  <c r="G135" i="3"/>
  <c r="BA136" i="3"/>
  <c r="AZ136" i="3" s="1"/>
  <c r="BA137" i="3"/>
  <c r="AZ137" i="3" s="1"/>
  <c r="BL138" i="3"/>
  <c r="AZ138" i="3" s="1"/>
  <c r="G139" i="3"/>
  <c r="BA140" i="3"/>
  <c r="G141" i="3"/>
  <c r="G143" i="3"/>
  <c r="BL144" i="3"/>
  <c r="G145" i="3"/>
  <c r="BL146" i="3"/>
  <c r="G147" i="3"/>
  <c r="BL149" i="3"/>
  <c r="BL150" i="3"/>
  <c r="AZ150" i="3" s="1"/>
  <c r="BL152" i="3"/>
  <c r="BL153" i="3"/>
  <c r="AZ153" i="3" s="1"/>
  <c r="BA155" i="3"/>
  <c r="AZ155" i="3" s="1"/>
  <c r="BL157" i="3"/>
  <c r="AZ157" i="3" s="1"/>
  <c r="BA158" i="3"/>
  <c r="AZ158" i="3" s="1"/>
  <c r="BL160" i="3"/>
  <c r="G161" i="3"/>
  <c r="BA163" i="3"/>
  <c r="AZ163" i="3" s="1"/>
  <c r="BL164" i="3"/>
  <c r="G165" i="3"/>
  <c r="BA167" i="3"/>
  <c r="AZ167" i="3" s="1"/>
  <c r="BA168" i="3"/>
  <c r="BL168" i="3"/>
  <c r="G169" i="3"/>
  <c r="G173" i="3"/>
  <c r="BA174" i="3"/>
  <c r="AZ174" i="3" s="1"/>
  <c r="G177" i="3"/>
  <c r="G179" i="3"/>
  <c r="BL180" i="3"/>
  <c r="BA181" i="3"/>
  <c r="AZ181" i="3" s="1"/>
  <c r="BL184" i="3"/>
  <c r="AZ184" i="3" s="1"/>
  <c r="BA185" i="3"/>
  <c r="AZ185" i="3" s="1"/>
  <c r="G188" i="3"/>
  <c r="BA191" i="3"/>
  <c r="BL21" i="3"/>
  <c r="BA23" i="3"/>
  <c r="BL25" i="3"/>
  <c r="BA27" i="3"/>
  <c r="BA29" i="3"/>
  <c r="BL31" i="3"/>
  <c r="BA33" i="3"/>
  <c r="BL35" i="3"/>
  <c r="G36" i="3"/>
  <c r="BL37" i="3"/>
  <c r="BA39" i="3"/>
  <c r="BL41" i="3"/>
  <c r="G42" i="3"/>
  <c r="G44" i="3"/>
  <c r="BA45" i="3"/>
  <c r="G46" i="3"/>
  <c r="BL47" i="3"/>
  <c r="G48" i="3"/>
  <c r="BA49" i="3"/>
  <c r="G50" i="3"/>
  <c r="BL51" i="3"/>
  <c r="G52" i="3"/>
  <c r="BL53" i="3"/>
  <c r="G54" i="3"/>
  <c r="BA55" i="3"/>
  <c r="G56" i="3"/>
  <c r="G58" i="3"/>
  <c r="G60" i="3"/>
  <c r="BA61" i="3"/>
  <c r="G62" i="3"/>
  <c r="BL63" i="3"/>
  <c r="G64" i="3"/>
  <c r="BL65" i="3"/>
  <c r="G66" i="3"/>
  <c r="BA67" i="3"/>
  <c r="G68" i="3"/>
  <c r="BA69" i="3"/>
  <c r="G70" i="3"/>
  <c r="BA71" i="3"/>
  <c r="G72" i="3"/>
  <c r="BA73" i="3"/>
  <c r="BL73" i="3"/>
  <c r="BL75" i="3"/>
  <c r="BL77" i="3"/>
  <c r="BA78" i="3"/>
  <c r="AZ78" i="3" s="1"/>
  <c r="BL79" i="3"/>
  <c r="BL81" i="3"/>
  <c r="BA82" i="3"/>
  <c r="AZ82" i="3" s="1"/>
  <c r="BA83" i="3"/>
  <c r="BL83" i="3"/>
  <c r="BL85" i="3"/>
  <c r="BA86" i="3"/>
  <c r="AZ86" i="3" s="1"/>
  <c r="BA87" i="3"/>
  <c r="BL87" i="3"/>
  <c r="BA88" i="3"/>
  <c r="AZ88" i="3" s="1"/>
  <c r="BA89" i="3"/>
  <c r="AZ89" i="3" s="1"/>
  <c r="BL89" i="3"/>
  <c r="BA91" i="3"/>
  <c r="AZ91" i="3" s="1"/>
  <c r="BL91" i="3"/>
  <c r="BA92" i="3"/>
  <c r="AZ92" i="3" s="1"/>
  <c r="BA93" i="3"/>
  <c r="BL93" i="3"/>
  <c r="BA94" i="3"/>
  <c r="G95" i="3"/>
  <c r="BA96" i="3"/>
  <c r="G97" i="3"/>
  <c r="BL98" i="3"/>
  <c r="G99" i="3"/>
  <c r="BA100" i="3"/>
  <c r="G101" i="3"/>
  <c r="BL102" i="3"/>
  <c r="G103" i="3"/>
  <c r="BL104" i="3"/>
  <c r="G105" i="3"/>
  <c r="BA106" i="3"/>
  <c r="S21" i="37"/>
  <c r="D81" i="59"/>
  <c r="C35" i="59"/>
  <c r="Y28" i="59"/>
  <c r="Z28" i="59" s="1"/>
  <c r="N69" i="59"/>
  <c r="S69" i="59"/>
  <c r="E68" i="59"/>
  <c r="U69" i="59"/>
  <c r="U77" i="59"/>
  <c r="E76" i="59"/>
  <c r="E75" i="59" s="1"/>
  <c r="S81" i="59"/>
  <c r="B80" i="59"/>
  <c r="B79" i="59" s="1"/>
  <c r="U81" i="59"/>
  <c r="E80" i="59"/>
  <c r="E79" i="59" s="1"/>
  <c r="A26" i="64"/>
  <c r="B24" i="59"/>
  <c r="B23" i="59" s="1"/>
  <c r="B22" i="59" s="1"/>
  <c r="B21" i="59" s="1"/>
  <c r="S25" i="59"/>
  <c r="AB26" i="59"/>
  <c r="AA26" i="59"/>
  <c r="G107" i="3"/>
  <c r="BL108" i="3"/>
  <c r="G109" i="3"/>
  <c r="BA110" i="3"/>
  <c r="G111" i="3"/>
  <c r="BL112" i="3"/>
  <c r="C42" i="1"/>
  <c r="C7" i="75"/>
  <c r="AB30" i="59"/>
  <c r="Y31" i="59"/>
  <c r="Z31" i="59" s="1"/>
  <c r="AB31" i="59"/>
  <c r="Y32" i="59"/>
  <c r="Z32" i="59" s="1"/>
  <c r="AB32" i="59"/>
  <c r="Y33" i="59"/>
  <c r="Z33" i="59" s="1"/>
  <c r="AB33" i="59"/>
  <c r="AA34" i="59"/>
  <c r="X35" i="59"/>
  <c r="AA35" i="59"/>
  <c r="X36" i="59"/>
  <c r="AA36" i="59"/>
  <c r="X37" i="59"/>
  <c r="AA37" i="59"/>
  <c r="Y38" i="59"/>
  <c r="Z38" i="59" s="1"/>
  <c r="AB38" i="59"/>
  <c r="Y39" i="59"/>
  <c r="Z39" i="59" s="1"/>
  <c r="AB39" i="59"/>
  <c r="C52" i="59"/>
  <c r="E20" i="6"/>
  <c r="F35" i="6"/>
  <c r="AB11" i="21"/>
  <c r="P75" i="15"/>
  <c r="U43" i="21"/>
  <c r="W41" i="21"/>
  <c r="AB41" i="21"/>
  <c r="S35" i="21"/>
  <c r="AB44" i="39"/>
  <c r="S41" i="39"/>
  <c r="AB43" i="39"/>
  <c r="S15" i="39"/>
  <c r="K5" i="54"/>
  <c r="B38" i="63" s="1"/>
  <c r="A18" i="64"/>
  <c r="B74" i="63" s="1"/>
  <c r="A18" i="51"/>
  <c r="B14" i="63" s="1"/>
  <c r="T41" i="4"/>
  <c r="A17" i="64" s="1"/>
  <c r="L5" i="54"/>
  <c r="B39" i="63" s="1"/>
  <c r="AA31" i="33"/>
  <c r="S31" i="33"/>
  <c r="AC41" i="40"/>
  <c r="S47" i="39"/>
  <c r="AA36" i="37"/>
  <c r="AZ370" i="3"/>
  <c r="AZ362" i="3"/>
  <c r="AZ336" i="3"/>
  <c r="AZ328" i="3"/>
  <c r="AZ320" i="3"/>
  <c r="AZ304" i="3"/>
  <c r="AZ300" i="3"/>
  <c r="AZ373" i="3"/>
  <c r="AC37" i="33"/>
  <c r="AZ501" i="3"/>
  <c r="AZ541" i="3"/>
  <c r="AC28" i="33"/>
  <c r="AB13" i="35"/>
  <c r="F44" i="21"/>
  <c r="H30" i="21"/>
  <c r="U30" i="21" s="1"/>
  <c r="AC34" i="36"/>
  <c r="AC40" i="21"/>
  <c r="F26" i="33"/>
  <c r="G571" i="3"/>
  <c r="J9" i="35"/>
  <c r="F12" i="35"/>
  <c r="G553" i="3"/>
  <c r="G552" i="3"/>
  <c r="G550" i="3"/>
  <c r="G545" i="3"/>
  <c r="G544" i="3"/>
  <c r="G533" i="3"/>
  <c r="G527" i="3"/>
  <c r="G525" i="3"/>
  <c r="G521" i="3"/>
  <c r="G509" i="3"/>
  <c r="G497" i="3"/>
  <c r="G496" i="3"/>
  <c r="AZ192" i="3"/>
  <c r="G485" i="3"/>
  <c r="G14"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G305" i="3"/>
  <c r="G315" i="3"/>
  <c r="BL316" i="3"/>
  <c r="AZ316" i="3" s="1"/>
  <c r="G317" i="3"/>
  <c r="BA319" i="3"/>
  <c r="AZ319" i="3" s="1"/>
  <c r="G325" i="3"/>
  <c r="BL326" i="3"/>
  <c r="AZ326" i="3" s="1"/>
  <c r="G329" i="3"/>
  <c r="BA337" i="3"/>
  <c r="AZ337" i="3" s="1"/>
  <c r="BA341" i="3"/>
  <c r="AZ341" i="3" s="1"/>
  <c r="BA350" i="3"/>
  <c r="G367" i="3"/>
  <c r="BL368" i="3"/>
  <c r="G379" i="3"/>
  <c r="G381" i="3"/>
  <c r="BL382" i="3"/>
  <c r="AZ382" i="3" s="1"/>
  <c r="BA384" i="3"/>
  <c r="AZ384" i="3" s="1"/>
  <c r="BL386" i="3"/>
  <c r="BA387" i="3"/>
  <c r="G388" i="3"/>
  <c r="G117" i="3"/>
  <c r="G121" i="3"/>
  <c r="G125" i="3"/>
  <c r="G412" i="3"/>
  <c r="G414" i="3"/>
  <c r="G416" i="3"/>
  <c r="G418" i="3"/>
  <c r="G420" i="3"/>
  <c r="G422" i="3"/>
  <c r="G424" i="3"/>
  <c r="G426" i="3"/>
  <c r="G428" i="3"/>
  <c r="G430" i="3"/>
  <c r="G432" i="3"/>
  <c r="G434" i="3"/>
  <c r="G436" i="3"/>
  <c r="G438" i="3"/>
  <c r="G440" i="3"/>
  <c r="G442" i="3"/>
  <c r="G444" i="3"/>
  <c r="G446" i="3"/>
  <c r="BA129" i="3"/>
  <c r="G130" i="3"/>
  <c r="BA139" i="3"/>
  <c r="AZ139" i="3" s="1"/>
  <c r="G142" i="3"/>
  <c r="BA143" i="3"/>
  <c r="AZ143" i="3" s="1"/>
  <c r="G146" i="3"/>
  <c r="G160" i="3"/>
  <c r="G176" i="3"/>
  <c r="BA177" i="3"/>
  <c r="G178" i="3"/>
  <c r="BA186" i="3"/>
  <c r="G187" i="3"/>
  <c r="BL188" i="3"/>
  <c r="AZ188" i="3" s="1"/>
  <c r="G189" i="3"/>
  <c r="BL192" i="3"/>
  <c r="BA193" i="3"/>
  <c r="AZ193" i="3" s="1"/>
  <c r="BA195" i="3"/>
  <c r="BL195" i="3"/>
  <c r="G196" i="3"/>
  <c r="G200" i="3"/>
  <c r="D67" i="59"/>
  <c r="O67" i="59"/>
  <c r="O66" i="59"/>
  <c r="D45" i="59"/>
  <c r="T45" i="59"/>
  <c r="D52" i="59"/>
  <c r="C53" i="59"/>
  <c r="P27" i="6"/>
  <c r="D68" i="59"/>
  <c r="C87" i="59"/>
  <c r="D87" i="59" s="1"/>
  <c r="D77" i="59"/>
  <c r="C76" i="59"/>
  <c r="Q69" i="59"/>
  <c r="D69" i="59"/>
  <c r="AB27" i="59"/>
  <c r="AB3" i="59"/>
  <c r="Y29" i="59"/>
  <c r="Z29" i="59" s="1"/>
  <c r="Y27" i="59"/>
  <c r="Z27" i="59" s="1"/>
  <c r="AA28" i="59"/>
  <c r="X29" i="59"/>
  <c r="X3" i="59"/>
  <c r="X30" i="59"/>
  <c r="AA30" i="59"/>
  <c r="X31" i="59"/>
  <c r="Y34" i="59"/>
  <c r="Z34" i="59" s="1"/>
  <c r="AB34" i="59"/>
  <c r="AA38" i="59"/>
  <c r="BA204" i="3"/>
  <c r="AZ204" i="3" s="1"/>
  <c r="BL204" i="3"/>
  <c r="BA21" i="3"/>
  <c r="AZ21" i="3" s="1"/>
  <c r="BA22" i="3"/>
  <c r="BL22" i="3"/>
  <c r="BA24" i="3"/>
  <c r="BL24" i="3"/>
  <c r="BA25" i="3"/>
  <c r="AZ25" i="3" s="1"/>
  <c r="BA26" i="3"/>
  <c r="AZ26" i="3" s="1"/>
  <c r="BL26" i="3"/>
  <c r="BL28" i="3"/>
  <c r="BL30" i="3"/>
  <c r="BA31" i="3"/>
  <c r="AZ31" i="3" s="1"/>
  <c r="BL32" i="3"/>
  <c r="BL34" i="3"/>
  <c r="BA35" i="3"/>
  <c r="AZ35" i="3" s="1"/>
  <c r="BA36" i="3"/>
  <c r="AZ36" i="3" s="1"/>
  <c r="BL36" i="3"/>
  <c r="BA37" i="3"/>
  <c r="AZ37" i="3" s="1"/>
  <c r="BA38" i="3"/>
  <c r="BL38" i="3"/>
  <c r="BA40" i="3"/>
  <c r="BL40" i="3"/>
  <c r="G41" i="3"/>
  <c r="BA42" i="3"/>
  <c r="G43" i="3"/>
  <c r="BL44" i="3"/>
  <c r="G45" i="3"/>
  <c r="G47" i="3"/>
  <c r="G49" i="3"/>
  <c r="G51" i="3"/>
  <c r="G53" i="3"/>
  <c r="G55" i="3"/>
  <c r="G57" i="3"/>
  <c r="BA58" i="3"/>
  <c r="G59" i="3"/>
  <c r="G61" i="3"/>
  <c r="G63" i="3"/>
  <c r="G65" i="3"/>
  <c r="G67" i="3"/>
  <c r="G69" i="3"/>
  <c r="G71" i="3"/>
  <c r="BL72" i="3"/>
  <c r="G73" i="3"/>
  <c r="G96" i="3"/>
  <c r="G98" i="3"/>
  <c r="G100" i="3"/>
  <c r="G102" i="3"/>
  <c r="G104" i="3"/>
  <c r="G106" i="3"/>
  <c r="G108" i="3"/>
  <c r="G110" i="3"/>
  <c r="G112" i="3"/>
  <c r="S21" i="34"/>
  <c r="AC18" i="36"/>
  <c r="F96" i="39"/>
  <c r="G96" i="39" s="1"/>
  <c r="J23" i="39"/>
  <c r="AC23" i="39" s="1"/>
  <c r="AC14" i="39"/>
  <c r="W14" i="39"/>
  <c r="S41" i="33"/>
  <c r="AA41" i="33"/>
  <c r="H113" i="21"/>
  <c r="J37" i="21"/>
  <c r="F37" i="21"/>
  <c r="H37" i="21"/>
  <c r="U37" i="21" s="1"/>
  <c r="AC23" i="36"/>
  <c r="W23" i="36"/>
  <c r="J26" i="35"/>
  <c r="H26" i="35"/>
  <c r="AB18" i="36"/>
  <c r="O40" i="9"/>
  <c r="K31" i="9" s="1"/>
  <c r="K32" i="9" s="1"/>
  <c r="W27" i="40"/>
  <c r="AC17" i="34"/>
  <c r="W17" i="34"/>
  <c r="S32" i="37"/>
  <c r="AA32" i="37"/>
  <c r="W14" i="40"/>
  <c r="AC14" i="40"/>
  <c r="S29" i="35"/>
  <c r="AA29" i="35"/>
  <c r="AB34" i="39"/>
  <c r="U34" i="39"/>
  <c r="F102" i="39"/>
  <c r="G102" i="39" s="1"/>
  <c r="F29" i="39"/>
  <c r="AA29" i="39" s="1"/>
  <c r="H29" i="39"/>
  <c r="U29" i="39" s="1"/>
  <c r="AB46" i="21"/>
  <c r="U46" i="21"/>
  <c r="U45" i="33"/>
  <c r="AB45" i="33"/>
  <c r="U27" i="37"/>
  <c r="AB27" i="37"/>
  <c r="AC16" i="35"/>
  <c r="AB33" i="36"/>
  <c r="AZ490" i="3"/>
  <c r="AZ537" i="3"/>
  <c r="AZ547" i="3"/>
  <c r="AZ548" i="3"/>
  <c r="AC27" i="37"/>
  <c r="S26" i="21"/>
  <c r="AB35" i="35"/>
  <c r="AB17" i="37"/>
  <c r="S42" i="33"/>
  <c r="AA30" i="33"/>
  <c r="AZ359" i="3"/>
  <c r="AZ298" i="3"/>
  <c r="AZ377" i="3"/>
  <c r="AZ343" i="3"/>
  <c r="AZ327" i="3"/>
  <c r="AZ322" i="3"/>
  <c r="U31" i="37"/>
  <c r="AA23" i="37"/>
  <c r="S27" i="37"/>
  <c r="AC41" i="34"/>
  <c r="AZ540" i="3"/>
  <c r="AZ531" i="3"/>
  <c r="AB31" i="21"/>
  <c r="U30" i="33"/>
  <c r="AA38" i="37"/>
  <c r="F46" i="21"/>
  <c r="AA46" i="21" s="1"/>
  <c r="J30" i="21"/>
  <c r="F28" i="21"/>
  <c r="J14" i="21"/>
  <c r="W33" i="33"/>
  <c r="U33" i="33"/>
  <c r="H12" i="21"/>
  <c r="U12" i="21" s="1"/>
  <c r="F32" i="21"/>
  <c r="J36" i="35"/>
  <c r="F23" i="36"/>
  <c r="H24" i="36"/>
  <c r="G555" i="3"/>
  <c r="G543" i="3"/>
  <c r="G15" i="3"/>
  <c r="F9" i="1"/>
  <c r="AP9" i="1" s="1"/>
  <c r="G389" i="3"/>
  <c r="G391" i="3"/>
  <c r="G393" i="3"/>
  <c r="G395" i="3"/>
  <c r="G397" i="3"/>
  <c r="G399" i="3"/>
  <c r="G401" i="3"/>
  <c r="G403" i="3"/>
  <c r="G405" i="3"/>
  <c r="G407" i="3"/>
  <c r="G409" i="3"/>
  <c r="AZ486" i="3"/>
  <c r="AZ534" i="3"/>
  <c r="AZ19" i="3"/>
  <c r="BL569" i="3"/>
  <c r="BA569" i="3"/>
  <c r="BA566" i="3"/>
  <c r="AZ566" i="3" s="1"/>
  <c r="BA561" i="3"/>
  <c r="AZ561" i="3" s="1"/>
  <c r="BA560" i="3"/>
  <c r="AZ560" i="3" s="1"/>
  <c r="BL559" i="3"/>
  <c r="BA559" i="3"/>
  <c r="BL557" i="3"/>
  <c r="BA556" i="3"/>
  <c r="AZ556" i="3" s="1"/>
  <c r="BL555" i="3"/>
  <c r="BA555" i="3"/>
  <c r="BL550" i="3"/>
  <c r="BA550" i="3"/>
  <c r="BL545" i="3"/>
  <c r="BA545" i="3"/>
  <c r="BA544" i="3"/>
  <c r="BL543" i="3"/>
  <c r="AZ543" i="3" s="1"/>
  <c r="BA536" i="3"/>
  <c r="AZ536" i="3" s="1"/>
  <c r="BA528" i="3"/>
  <c r="AZ528" i="3" s="1"/>
  <c r="BA521" i="3"/>
  <c r="AZ521" i="3" s="1"/>
  <c r="BA520" i="3"/>
  <c r="BA512" i="3"/>
  <c r="BL511" i="3"/>
  <c r="BL503" i="3"/>
  <c r="BA502" i="3"/>
  <c r="AZ502" i="3" s="1"/>
  <c r="BL493" i="3"/>
  <c r="BA493" i="3"/>
  <c r="BA492" i="3"/>
  <c r="BL491" i="3"/>
  <c r="BL485" i="3"/>
  <c r="BA484"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07" i="3"/>
  <c r="G313" i="3"/>
  <c r="BL314" i="3"/>
  <c r="AZ314" i="3" s="1"/>
  <c r="G320" i="3"/>
  <c r="G331" i="3"/>
  <c r="G336" i="3"/>
  <c r="G349" i="3"/>
  <c r="BA351" i="3"/>
  <c r="AZ351" i="3" s="1"/>
  <c r="G365" i="3"/>
  <c r="BL366" i="3"/>
  <c r="AZ366" i="3" s="1"/>
  <c r="BA368" i="3"/>
  <c r="AZ368" i="3" s="1"/>
  <c r="G375" i="3"/>
  <c r="BL376" i="3"/>
  <c r="G386"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37" i="3"/>
  <c r="G138" i="3"/>
  <c r="BL141" i="3"/>
  <c r="BL142" i="3"/>
  <c r="AZ142" i="3" s="1"/>
  <c r="BA144" i="3"/>
  <c r="AZ144" i="3" s="1"/>
  <c r="BA145" i="3"/>
  <c r="BL145" i="3"/>
  <c r="G149" i="3"/>
  <c r="G152" i="3"/>
  <c r="G156" i="3"/>
  <c r="G157" i="3"/>
  <c r="BA159" i="3"/>
  <c r="BL159" i="3"/>
  <c r="BA160" i="3"/>
  <c r="AZ160" i="3" s="1"/>
  <c r="BL161" i="3"/>
  <c r="AZ161" i="3" s="1"/>
  <c r="G162" i="3"/>
  <c r="G164" i="3"/>
  <c r="G168" i="3"/>
  <c r="G170" i="3"/>
  <c r="BL172" i="3"/>
  <c r="BL173" i="3"/>
  <c r="AZ173" i="3" s="1"/>
  <c r="BA175" i="3"/>
  <c r="AZ175" i="3" s="1"/>
  <c r="BA176" i="3"/>
  <c r="BL176" i="3"/>
  <c r="BL178" i="3"/>
  <c r="AZ178" i="3" s="1"/>
  <c r="BA179" i="3"/>
  <c r="AZ179" i="3" s="1"/>
  <c r="BA182" i="3"/>
  <c r="BL182" i="3"/>
  <c r="G183" i="3"/>
  <c r="G184" i="3"/>
  <c r="BA187" i="3"/>
  <c r="BL187" i="3"/>
  <c r="BA189" i="3"/>
  <c r="AZ189" i="3" s="1"/>
  <c r="BL190" i="3"/>
  <c r="G191" i="3"/>
  <c r="G192" i="3"/>
  <c r="BA194" i="3"/>
  <c r="BL194" i="3"/>
  <c r="G195" i="3"/>
  <c r="BA199" i="3"/>
  <c r="BL199" i="3"/>
  <c r="G202" i="3"/>
  <c r="G204" i="3"/>
  <c r="G22" i="3"/>
  <c r="G24" i="3"/>
  <c r="G26" i="3"/>
  <c r="G28" i="3"/>
  <c r="G30" i="3"/>
  <c r="G32" i="3"/>
  <c r="G34" i="3"/>
  <c r="G38" i="3"/>
  <c r="G40" i="3"/>
  <c r="BA41" i="3"/>
  <c r="AZ41" i="3" s="1"/>
  <c r="BA43" i="3"/>
  <c r="BL43" i="3"/>
  <c r="BA44" i="3"/>
  <c r="AZ44" i="3" s="1"/>
  <c r="BL46" i="3"/>
  <c r="BA47" i="3"/>
  <c r="AZ47" i="3" s="1"/>
  <c r="BL48" i="3"/>
  <c r="BL50" i="3"/>
  <c r="BA51" i="3"/>
  <c r="AZ51" i="3" s="1"/>
  <c r="BA52" i="3"/>
  <c r="BL52" i="3"/>
  <c r="BA53" i="3"/>
  <c r="AZ53" i="3" s="1"/>
  <c r="BA54" i="3"/>
  <c r="BL54" i="3"/>
  <c r="BA56" i="3"/>
  <c r="BL56" i="3"/>
  <c r="BL57" i="3"/>
  <c r="BA59" i="3"/>
  <c r="BL59" i="3"/>
  <c r="BL60" i="3"/>
  <c r="BL62" i="3"/>
  <c r="BA63" i="3"/>
  <c r="AZ63" i="3" s="1"/>
  <c r="BA64" i="3"/>
  <c r="BL64" i="3"/>
  <c r="BA65" i="3"/>
  <c r="AZ65" i="3" s="1"/>
  <c r="BL66" i="3"/>
  <c r="BL68" i="3"/>
  <c r="BA70" i="3"/>
  <c r="BL70" i="3"/>
  <c r="BA72" i="3"/>
  <c r="AZ72" i="3" s="1"/>
  <c r="G75" i="3"/>
  <c r="G77" i="3"/>
  <c r="G79" i="3"/>
  <c r="G81" i="3"/>
  <c r="G83" i="3"/>
  <c r="G85" i="3"/>
  <c r="G87" i="3"/>
  <c r="G89" i="3"/>
  <c r="G91" i="3"/>
  <c r="G93" i="3"/>
  <c r="D55" i="59"/>
  <c r="C56" i="59"/>
  <c r="D63" i="59"/>
  <c r="C64" i="59"/>
  <c r="D61" i="59"/>
  <c r="D25" i="59"/>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C27" i="40"/>
  <c r="F31" i="39"/>
  <c r="AA31" i="39" s="1"/>
  <c r="AA29" i="59"/>
  <c r="AA27" i="59"/>
  <c r="AA3" i="59"/>
  <c r="X28" i="59"/>
  <c r="X26" i="59"/>
  <c r="Y30" i="59"/>
  <c r="Z30" i="59" s="1"/>
  <c r="F31" i="59"/>
  <c r="F32" i="59" s="1"/>
  <c r="F33" i="59" s="1"/>
  <c r="V33" i="59" s="1"/>
  <c r="AA31" i="59"/>
  <c r="X32" i="59"/>
  <c r="AA32" i="59"/>
  <c r="X33" i="59"/>
  <c r="AA33" i="59"/>
  <c r="X34" i="59"/>
  <c r="Y35" i="59"/>
  <c r="Z35" i="59" s="1"/>
  <c r="AB35" i="59"/>
  <c r="Y36" i="59"/>
  <c r="Z36" i="59" s="1"/>
  <c r="AB36" i="59"/>
  <c r="Y37" i="59"/>
  <c r="Z37" i="59" s="1"/>
  <c r="AB37" i="59"/>
  <c r="E39" i="59"/>
  <c r="E40" i="59" s="1"/>
  <c r="E41" i="59" s="1"/>
  <c r="U41" i="59" s="1"/>
  <c r="F39" i="59"/>
  <c r="F40" i="59" s="1"/>
  <c r="F41" i="59" s="1"/>
  <c r="V41" i="59" s="1"/>
  <c r="AA39" i="59"/>
  <c r="E52" i="59"/>
  <c r="E53" i="59" s="1"/>
  <c r="U53" i="59" s="1"/>
  <c r="W45" i="39"/>
  <c r="S45" i="39"/>
  <c r="AA46" i="39"/>
  <c r="AB45" i="21"/>
  <c r="AC46" i="21"/>
  <c r="AB44" i="21"/>
  <c r="K9" i="1"/>
  <c r="F9" i="12"/>
  <c r="K8" i="1"/>
  <c r="M8" i="1" s="1"/>
  <c r="O8" i="1" s="1"/>
  <c r="P8" i="1" s="1"/>
  <c r="E9" i="12"/>
  <c r="D9" i="12"/>
  <c r="K7" i="1"/>
  <c r="M7" i="1" s="1"/>
  <c r="O7" i="1" s="1"/>
  <c r="P7" i="1" s="1"/>
  <c r="I4" i="6"/>
  <c r="G3" i="46" s="1"/>
  <c r="Z7" i="46" s="1"/>
  <c r="F19" i="6"/>
  <c r="E19" i="6" s="1"/>
  <c r="D3" i="21" s="1"/>
  <c r="U42" i="21"/>
  <c r="W42" i="21"/>
  <c r="AB32" i="21"/>
  <c r="S30" i="21"/>
  <c r="AA30" i="21"/>
  <c r="AC28" i="21"/>
  <c r="W28" i="21"/>
  <c r="AA31" i="21"/>
  <c r="AB29" i="21"/>
  <c r="U28" i="21"/>
  <c r="AB30" i="21"/>
  <c r="F81" i="21"/>
  <c r="G81" i="21" s="1"/>
  <c r="F19" i="21"/>
  <c r="AA19" i="21" s="1"/>
  <c r="J19" i="21"/>
  <c r="H19" i="21"/>
  <c r="AB19" i="21" s="1"/>
  <c r="F79" i="21"/>
  <c r="G79" i="21" s="1"/>
  <c r="F17" i="21"/>
  <c r="J17" i="21"/>
  <c r="AC17" i="21" s="1"/>
  <c r="H17" i="21"/>
  <c r="AB17" i="21" s="1"/>
  <c r="F77" i="21"/>
  <c r="G77" i="21" s="1"/>
  <c r="H15" i="21"/>
  <c r="AB15" i="21" s="1"/>
  <c r="F15" i="21"/>
  <c r="S15" i="21" s="1"/>
  <c r="J15" i="21"/>
  <c r="W15" i="21" s="1"/>
  <c r="S23" i="21"/>
  <c r="AC23" i="21"/>
  <c r="U23" i="21"/>
  <c r="S21" i="21"/>
  <c r="S12" i="21"/>
  <c r="AA12" i="21"/>
  <c r="AA14" i="21"/>
  <c r="S14" i="21"/>
  <c r="S13" i="21"/>
  <c r="AB12" i="21"/>
  <c r="H14" i="21"/>
  <c r="J12" i="21"/>
  <c r="S42" i="21"/>
  <c r="U39" i="21"/>
  <c r="S39" i="21"/>
  <c r="AA38" i="21"/>
  <c r="U38" i="21"/>
  <c r="AB36" i="21"/>
  <c r="U35" i="21"/>
  <c r="AC35" i="21"/>
  <c r="S33" i="21"/>
  <c r="W32" i="21"/>
  <c r="W9" i="21"/>
  <c r="W8" i="21"/>
  <c r="S8" i="21"/>
  <c r="F11" i="1"/>
  <c r="AP11" i="1" s="1"/>
  <c r="F7" i="1"/>
  <c r="S29" i="39"/>
  <c r="U27" i="39"/>
  <c r="S27" i="39"/>
  <c r="AA44" i="39"/>
  <c r="AC44" i="39"/>
  <c r="AA43" i="39"/>
  <c r="AC43" i="39"/>
  <c r="W41" i="39"/>
  <c r="C18" i="9"/>
  <c r="AC17" i="39"/>
  <c r="G82" i="39"/>
  <c r="H82" i="39" s="1"/>
  <c r="I82" i="39" s="1"/>
  <c r="J82" i="39" s="1"/>
  <c r="K82" i="39" s="1"/>
  <c r="L82" i="39" s="1"/>
  <c r="M82" i="39" s="1"/>
  <c r="W29" i="39"/>
  <c r="H23" i="39"/>
  <c r="AB23" i="39" s="1"/>
  <c r="F23" i="39"/>
  <c r="U23" i="39"/>
  <c r="U21" i="39"/>
  <c r="AA21" i="39"/>
  <c r="S31" i="39"/>
  <c r="AB29" i="39"/>
  <c r="W27" i="39"/>
  <c r="S25" i="39"/>
  <c r="W23" i="39"/>
  <c r="B76" i="46"/>
  <c r="B77" i="46"/>
  <c r="C31" i="39"/>
  <c r="B68" i="46"/>
  <c r="G12" i="1"/>
  <c r="C19" i="59"/>
  <c r="D20" i="59"/>
  <c r="D21" i="59"/>
  <c r="B20" i="59"/>
  <c r="B19" i="59" s="1"/>
  <c r="B18" i="59" s="1"/>
  <c r="S21" i="59"/>
  <c r="T21" i="59"/>
  <c r="R22" i="31"/>
  <c r="B21" i="31" s="1"/>
  <c r="S19" i="40"/>
  <c r="AB29" i="40"/>
  <c r="U39" i="40"/>
  <c r="AA15" i="21"/>
  <c r="AC37" i="40"/>
  <c r="W37" i="40"/>
  <c r="U20" i="36"/>
  <c r="AB20" i="36"/>
  <c r="AC34" i="33"/>
  <c r="W34" i="33"/>
  <c r="W36" i="33"/>
  <c r="AC36" i="33"/>
  <c r="AZ488" i="3"/>
  <c r="W33" i="36"/>
  <c r="AC33" i="36"/>
  <c r="AZ569" i="3"/>
  <c r="AZ559" i="3"/>
  <c r="AZ555" i="3"/>
  <c r="AZ550" i="3"/>
  <c r="AZ545" i="3"/>
  <c r="AZ493" i="3"/>
  <c r="AA11" i="35"/>
  <c r="S11" i="35"/>
  <c r="AZ491" i="3"/>
  <c r="AZ496" i="3"/>
  <c r="AZ503" i="3"/>
  <c r="AZ512" i="3"/>
  <c r="AZ492" i="3"/>
  <c r="AZ520" i="3"/>
  <c r="AZ526" i="3"/>
  <c r="AZ544" i="3"/>
  <c r="AZ542" i="3"/>
  <c r="AZ557" i="3"/>
  <c r="B94" i="46"/>
  <c r="B84" i="46"/>
  <c r="H26" i="37"/>
  <c r="F26" i="37"/>
  <c r="U41" i="39"/>
  <c r="AB45" i="39"/>
  <c r="AA23" i="40"/>
  <c r="W25" i="40"/>
  <c r="S15" i="40"/>
  <c r="U15" i="40"/>
  <c r="W17" i="21"/>
  <c r="AB37" i="21"/>
  <c r="AB34" i="33"/>
  <c r="U15" i="34"/>
  <c r="W12" i="37"/>
  <c r="AB14" i="35"/>
  <c r="S23" i="35"/>
  <c r="AA20" i="35"/>
  <c r="M20" i="44"/>
  <c r="U40" i="21"/>
  <c r="S17" i="39"/>
  <c r="AA37" i="39"/>
  <c r="AA34" i="33"/>
  <c r="AB23" i="40"/>
  <c r="W15" i="39"/>
  <c r="U17" i="21"/>
  <c r="AA11" i="34"/>
  <c r="AA11" i="36"/>
  <c r="AB17" i="39"/>
  <c r="U39" i="39"/>
  <c r="AB37" i="39"/>
  <c r="AB25" i="39"/>
  <c r="S33" i="40"/>
  <c r="AZ482" i="3"/>
  <c r="AZ485" i="3"/>
  <c r="AZ489" i="3"/>
  <c r="AZ495" i="3"/>
  <c r="AZ500" i="3"/>
  <c r="AZ509" i="3"/>
  <c r="AZ511" i="3"/>
  <c r="AZ513" i="3"/>
  <c r="AZ518" i="3"/>
  <c r="AZ529" i="3"/>
  <c r="AZ552" i="3"/>
  <c r="AZ554" i="3"/>
  <c r="AZ571" i="3"/>
  <c r="AC34" i="37"/>
  <c r="AC45" i="21"/>
  <c r="U31" i="34"/>
  <c r="U25" i="35"/>
  <c r="AB39" i="34"/>
  <c r="S25" i="35"/>
  <c r="AC14" i="37"/>
  <c r="AC11" i="36"/>
  <c r="AC29" i="33"/>
  <c r="W37" i="37"/>
  <c r="S37" i="34"/>
  <c r="AB15" i="37"/>
  <c r="AZ356" i="3"/>
  <c r="AZ345" i="3"/>
  <c r="AZ340" i="3"/>
  <c r="AZ329" i="3"/>
  <c r="AZ324" i="3"/>
  <c r="AZ305" i="3"/>
  <c r="AZ381" i="3"/>
  <c r="AZ372" i="3"/>
  <c r="AZ355" i="3"/>
  <c r="AZ307" i="3"/>
  <c r="U12" i="37"/>
  <c r="AA36" i="21"/>
  <c r="AA13" i="33"/>
  <c r="AB8" i="34"/>
  <c r="AC23" i="37"/>
  <c r="AC28" i="34"/>
  <c r="BL484" i="3"/>
  <c r="BL514" i="3"/>
  <c r="AZ514" i="3" s="1"/>
  <c r="BL524" i="3"/>
  <c r="AZ524" i="3" s="1"/>
  <c r="AZ532" i="3"/>
  <c r="BL546" i="3"/>
  <c r="AZ546" i="3" s="1"/>
  <c r="BL564" i="3"/>
  <c r="AZ564" i="3" s="1"/>
  <c r="S45" i="21"/>
  <c r="AA27" i="33"/>
  <c r="W31" i="34"/>
  <c r="AB13" i="21"/>
  <c r="AB40" i="37"/>
  <c r="W46" i="33"/>
  <c r="W35" i="35"/>
  <c r="U34" i="37"/>
  <c r="S22" i="35"/>
  <c r="C23" i="39"/>
  <c r="H39" i="37"/>
  <c r="W9" i="34"/>
  <c r="U26" i="36"/>
  <c r="W39" i="37"/>
  <c r="F39" i="37"/>
  <c r="E5" i="6"/>
  <c r="D12" i="11" s="1"/>
  <c r="C12" i="11" s="1"/>
  <c r="BF5" i="3"/>
  <c r="F9" i="21"/>
  <c r="H9" i="21"/>
  <c r="J9" i="33"/>
  <c r="H9" i="33"/>
  <c r="F9" i="33"/>
  <c r="J12" i="35"/>
  <c r="J12" i="33"/>
  <c r="H12" i="33"/>
  <c r="F12" i="33"/>
  <c r="J34" i="35"/>
  <c r="H34" i="35"/>
  <c r="F34" i="35"/>
  <c r="H5" i="3"/>
  <c r="BA572" i="3"/>
  <c r="AZ572" i="3" s="1"/>
  <c r="BA570" i="3"/>
  <c r="AZ570" i="3" s="1"/>
  <c r="BE5" i="3"/>
  <c r="B79" i="46"/>
  <c r="B101" i="46"/>
  <c r="G569" i="3"/>
  <c r="G564" i="3"/>
  <c r="G535" i="3"/>
  <c r="G528" i="3"/>
  <c r="G520" i="3"/>
  <c r="G511" i="3"/>
  <c r="G500" i="3"/>
  <c r="G490" i="3"/>
  <c r="G482"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AZ399" i="3"/>
  <c r="AZ403" i="3"/>
  <c r="AZ415" i="3"/>
  <c r="AZ424" i="3"/>
  <c r="AZ433" i="3"/>
  <c r="AZ439" i="3"/>
  <c r="AZ459" i="3"/>
  <c r="AZ463" i="3"/>
  <c r="AZ467" i="3"/>
  <c r="AZ471" i="3"/>
  <c r="AZ475" i="3"/>
  <c r="AZ479" i="3"/>
  <c r="AZ360" i="3"/>
  <c r="AZ371" i="3"/>
  <c r="AZ376" i="3"/>
  <c r="AZ388" i="3"/>
  <c r="BL140" i="3"/>
  <c r="AZ140" i="3" s="1"/>
  <c r="BA141" i="3"/>
  <c r="AZ141" i="3" s="1"/>
  <c r="BA147" i="3"/>
  <c r="AZ147" i="3" s="1"/>
  <c r="BL148" i="3"/>
  <c r="AZ148" i="3" s="1"/>
  <c r="BA149" i="3"/>
  <c r="AZ149" i="3" s="1"/>
  <c r="BA152" i="3"/>
  <c r="AZ152" i="3" s="1"/>
  <c r="BA164" i="3"/>
  <c r="AZ164" i="3" s="1"/>
  <c r="BA170" i="3"/>
  <c r="AZ170" i="3" s="1"/>
  <c r="BL171" i="3"/>
  <c r="AZ171" i="3" s="1"/>
  <c r="BA172" i="3"/>
  <c r="AZ172" i="3" s="1"/>
  <c r="BL177" i="3"/>
  <c r="AZ177" i="3" s="1"/>
  <c r="BA180" i="3"/>
  <c r="AZ180" i="3" s="1"/>
  <c r="BL183" i="3"/>
  <c r="AZ183" i="3" s="1"/>
  <c r="BL191" i="3"/>
  <c r="AZ191"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L156" i="3"/>
  <c r="AZ156" i="3" s="1"/>
  <c r="BL186" i="3"/>
  <c r="BA197" i="3"/>
  <c r="AZ197" i="3" s="1"/>
  <c r="BA201" i="3"/>
  <c r="AZ201" i="3" s="1"/>
  <c r="BA202" i="3"/>
  <c r="AZ202" i="3" s="1"/>
  <c r="BL23" i="3"/>
  <c r="AZ23" i="3" s="1"/>
  <c r="BL27" i="3"/>
  <c r="AZ27" i="3" s="1"/>
  <c r="BA28" i="3"/>
  <c r="AZ28" i="3" s="1"/>
  <c r="BL29" i="3"/>
  <c r="BA30" i="3"/>
  <c r="AZ30" i="3" s="1"/>
  <c r="BA32" i="3"/>
  <c r="AZ32" i="3" s="1"/>
  <c r="BL33" i="3"/>
  <c r="BA34" i="3"/>
  <c r="AZ34" i="3" s="1"/>
  <c r="BL39" i="3"/>
  <c r="AZ39"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BL42" i="3"/>
  <c r="AZ42" i="3" s="1"/>
  <c r="AZ67" i="3"/>
  <c r="P16" i="4"/>
  <c r="B31" i="59"/>
  <c r="B32" i="59" s="1"/>
  <c r="B33" i="59" s="1"/>
  <c r="S33" i="59" s="1"/>
  <c r="C31" i="59"/>
  <c r="E35" i="59"/>
  <c r="E36" i="59" s="1"/>
  <c r="E37" i="59" s="1"/>
  <c r="U37" i="59" s="1"/>
  <c r="F35" i="59"/>
  <c r="F36" i="59" s="1"/>
  <c r="F37" i="59" s="1"/>
  <c r="V37" i="59" s="1"/>
  <c r="B39" i="59"/>
  <c r="B40" i="59" s="1"/>
  <c r="B41" i="59" s="1"/>
  <c r="S41" i="59" s="1"/>
  <c r="C39" i="59"/>
  <c r="X6" i="59"/>
  <c r="X8" i="59"/>
  <c r="X7" i="59"/>
  <c r="X5" i="59"/>
  <c r="X10" i="59"/>
  <c r="X11" i="59"/>
  <c r="AA7" i="59"/>
  <c r="AA5" i="59"/>
  <c r="AA8" i="59"/>
  <c r="AA6" i="59"/>
  <c r="AA10" i="59"/>
  <c r="AA11" i="59"/>
  <c r="AB6" i="59"/>
  <c r="AB5" i="59"/>
  <c r="AB7" i="59"/>
  <c r="AB8" i="59"/>
  <c r="AB10" i="59"/>
  <c r="AB11" i="59"/>
  <c r="B68" i="59"/>
  <c r="X24" i="59"/>
  <c r="U29" i="59"/>
  <c r="E28" i="59"/>
  <c r="E27" i="59" s="1"/>
  <c r="C28" i="59"/>
  <c r="O76" i="9"/>
  <c r="K76" i="9"/>
  <c r="B29" i="59"/>
  <c r="X25" i="59"/>
  <c r="Y24" i="59"/>
  <c r="Z24" i="59" s="1"/>
  <c r="AB24" i="59"/>
  <c r="X19" i="59"/>
  <c r="AA19" i="59"/>
  <c r="Y19" i="59"/>
  <c r="Z19" i="59" s="1"/>
  <c r="AB19" i="59"/>
  <c r="X14" i="59"/>
  <c r="X40" i="59"/>
  <c r="Y6" i="59"/>
  <c r="Z6" i="59" s="1"/>
  <c r="Y5" i="59"/>
  <c r="Z5" i="59" s="1"/>
  <c r="Y8" i="59"/>
  <c r="Z8" i="59" s="1"/>
  <c r="Y7" i="59"/>
  <c r="Z7" i="59" s="1"/>
  <c r="Y10" i="59"/>
  <c r="Z10" i="59" s="1"/>
  <c r="Y11" i="59"/>
  <c r="Z11" i="59" s="1"/>
  <c r="AB40" i="59"/>
  <c r="T25" i="59"/>
  <c r="T29" i="59"/>
  <c r="L76" i="9"/>
  <c r="X22" i="59"/>
  <c r="AA24" i="59"/>
  <c r="AA22" i="59"/>
  <c r="X18" i="59"/>
  <c r="Y18" i="59"/>
  <c r="Z18" i="59" s="1"/>
  <c r="AA18" i="59"/>
  <c r="AB18" i="59"/>
  <c r="Y14" i="59"/>
  <c r="Z14" i="59" s="1"/>
  <c r="AB14" i="59"/>
  <c r="F25" i="59"/>
  <c r="E25" i="59"/>
  <c r="Y25" i="59"/>
  <c r="Z25" i="59" s="1"/>
  <c r="AB25" i="59"/>
  <c r="AA16" i="59"/>
  <c r="X17" i="59"/>
  <c r="Y12" i="59"/>
  <c r="Z12" i="59" s="1"/>
  <c r="Y15" i="59"/>
  <c r="Z15" i="59" s="1"/>
  <c r="AA12" i="59"/>
  <c r="AA13" i="59"/>
  <c r="X12" i="59"/>
  <c r="X15" i="59"/>
  <c r="AB16" i="59"/>
  <c r="Y13" i="59"/>
  <c r="Z13" i="59" s="1"/>
  <c r="AA14" i="59"/>
  <c r="AA15" i="59"/>
  <c r="X13" i="59"/>
  <c r="AB12" i="59"/>
  <c r="AB13" i="59"/>
  <c r="AB15" i="59"/>
  <c r="D65" i="46"/>
  <c r="D50" i="46"/>
  <c r="F36" i="44"/>
  <c r="M22" i="44"/>
  <c r="M20" i="15"/>
  <c r="E29" i="6"/>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12" i="1"/>
  <c r="P12" i="1" s="1"/>
  <c r="O10" i="1"/>
  <c r="P10" i="1" s="1"/>
  <c r="G6" i="1"/>
  <c r="A25" i="51"/>
  <c r="B18" i="63" s="1"/>
  <c r="G10" i="1"/>
  <c r="G13" i="1"/>
  <c r="C95" i="9"/>
  <c r="C92" i="9" s="1"/>
  <c r="C25" i="12"/>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Y17" i="59"/>
  <c r="Z17" i="59" s="1"/>
  <c r="P26" i="46"/>
  <c r="P28" i="46"/>
  <c r="B67" i="40" s="1"/>
  <c r="P27" i="46"/>
  <c r="P29" i="46"/>
  <c r="B72" i="39" s="1"/>
  <c r="P25" i="46"/>
  <c r="J1" i="65"/>
  <c r="F50" i="15"/>
  <c r="F64" i="15"/>
  <c r="L60" i="44"/>
  <c r="C4" i="65"/>
  <c r="B39" i="1" s="1"/>
  <c r="M29" i="78"/>
  <c r="I5" i="65"/>
  <c r="F28" i="44"/>
  <c r="F6" i="15"/>
  <c r="F43" i="78"/>
  <c r="M23" i="15"/>
  <c r="F15" i="44"/>
  <c r="F10" i="44"/>
  <c r="M9" i="15"/>
  <c r="L49" i="44"/>
  <c r="F40" i="44"/>
  <c r="F26" i="15"/>
  <c r="F13" i="15"/>
  <c r="M26" i="44"/>
  <c r="J5" i="65"/>
  <c r="F36" i="15"/>
  <c r="M31" i="44"/>
  <c r="J6" i="65"/>
  <c r="F11" i="44"/>
  <c r="F8" i="44"/>
  <c r="L48" i="15"/>
  <c r="M28" i="44"/>
  <c r="J17" i="44"/>
  <c r="F43" i="44"/>
  <c r="M22" i="15"/>
  <c r="F40" i="15"/>
  <c r="L47" i="15"/>
  <c r="M11" i="44"/>
  <c r="F38" i="44"/>
  <c r="J36" i="15"/>
  <c r="F9" i="44"/>
  <c r="M30" i="44"/>
  <c r="M24" i="44"/>
  <c r="M8" i="44"/>
  <c r="M25" i="44"/>
  <c r="I3" i="65"/>
  <c r="F45" i="44"/>
  <c r="F38" i="15"/>
  <c r="M8" i="15"/>
  <c r="F9" i="15"/>
  <c r="E3" i="65"/>
  <c r="J57" i="15" l="1"/>
  <c r="J55" i="15" s="1"/>
  <c r="J58" i="15" s="1"/>
  <c r="Q51" i="15" s="1"/>
  <c r="L56" i="15"/>
  <c r="J53" i="15"/>
  <c r="Q53" i="15" s="1"/>
  <c r="I54" i="15"/>
  <c r="C58" i="75"/>
  <c r="D58" i="75" s="1"/>
  <c r="E58" i="75" s="1"/>
  <c r="F58" i="75" s="1"/>
  <c r="G58" i="75" s="1"/>
  <c r="H58" i="75" s="1"/>
  <c r="I58" i="75" s="1"/>
  <c r="J58" i="75" s="1"/>
  <c r="K58" i="75" s="1"/>
  <c r="L58" i="75" s="1"/>
  <c r="M58" i="75" s="1"/>
  <c r="N58" i="75" s="1"/>
  <c r="O58" i="75" s="1"/>
  <c r="I7" i="75"/>
  <c r="E7" i="75"/>
  <c r="F7" i="75" s="1"/>
  <c r="G7" i="75"/>
  <c r="P68" i="59"/>
  <c r="E67" i="59"/>
  <c r="C36" i="59"/>
  <c r="D35" i="59"/>
  <c r="AA9" i="34"/>
  <c r="S9" i="34"/>
  <c r="AA24" i="36"/>
  <c r="S24" i="36"/>
  <c r="AC44" i="21"/>
  <c r="W44" i="21"/>
  <c r="S19" i="21"/>
  <c r="G7" i="1"/>
  <c r="S46" i="21"/>
  <c r="AZ93" i="3"/>
  <c r="AZ87" i="3"/>
  <c r="AZ83" i="3"/>
  <c r="AZ73" i="3"/>
  <c r="C83" i="59"/>
  <c r="D83" i="59" s="1"/>
  <c r="D84" i="59"/>
  <c r="S34" i="36"/>
  <c r="AA34" i="36"/>
  <c r="C28" i="78"/>
  <c r="F70" i="78"/>
  <c r="M9" i="1"/>
  <c r="M11" i="78"/>
  <c r="J10" i="78" s="1"/>
  <c r="F11" i="78"/>
  <c r="A17" i="51"/>
  <c r="B13" i="63" s="1"/>
  <c r="D76" i="59"/>
  <c r="C75" i="59"/>
  <c r="D75" i="59" s="1"/>
  <c r="W9" i="35"/>
  <c r="AC9" i="35"/>
  <c r="AA26" i="33"/>
  <c r="S26" i="33"/>
  <c r="AA44" i="21"/>
  <c r="S44" i="21"/>
  <c r="AC15" i="21"/>
  <c r="AZ107" i="3"/>
  <c r="AZ105" i="3"/>
  <c r="AZ70" i="3"/>
  <c r="AZ59" i="3"/>
  <c r="AZ52" i="3"/>
  <c r="AZ199" i="3"/>
  <c r="AZ159" i="3"/>
  <c r="AZ145" i="3"/>
  <c r="AZ124" i="3"/>
  <c r="AZ40" i="3"/>
  <c r="AZ38" i="3"/>
  <c r="AZ24" i="3"/>
  <c r="AZ22" i="3"/>
  <c r="D53" i="59"/>
  <c r="T53" i="59"/>
  <c r="AZ195" i="3"/>
  <c r="AA12" i="35"/>
  <c r="S12" i="35"/>
  <c r="AZ109" i="3"/>
  <c r="AZ103" i="3"/>
  <c r="AZ64" i="3"/>
  <c r="AZ56" i="3"/>
  <c r="AZ187" i="3"/>
  <c r="AA23" i="36"/>
  <c r="S23" i="36"/>
  <c r="S32" i="21"/>
  <c r="AA32" i="21"/>
  <c r="AC14" i="21"/>
  <c r="W14" i="21"/>
  <c r="W30" i="21"/>
  <c r="AC30" i="21"/>
  <c r="AB26" i="35"/>
  <c r="U26" i="35"/>
  <c r="W37" i="21"/>
  <c r="AC37" i="21"/>
  <c r="U15" i="21"/>
  <c r="D64" i="59"/>
  <c r="C65" i="59"/>
  <c r="D56" i="59"/>
  <c r="C57" i="59"/>
  <c r="AZ43" i="3"/>
  <c r="AB24" i="36"/>
  <c r="U24" i="36"/>
  <c r="AC36" i="35"/>
  <c r="W36" i="35"/>
  <c r="AA28" i="21"/>
  <c r="S28" i="21"/>
  <c r="AC26" i="35"/>
  <c r="W26" i="35"/>
  <c r="S37" i="21"/>
  <c r="AA37" i="21"/>
  <c r="K17" i="4"/>
  <c r="A22" i="51" s="1"/>
  <c r="B16" i="63" s="1"/>
  <c r="G11" i="1"/>
  <c r="C9" i="12"/>
  <c r="E32" i="6"/>
  <c r="K6" i="1"/>
  <c r="H16" i="1" s="1"/>
  <c r="L19" i="6"/>
  <c r="L27" i="6" s="1"/>
  <c r="U19" i="21"/>
  <c r="W19" i="21"/>
  <c r="AC19" i="21"/>
  <c r="S17" i="21"/>
  <c r="AA17" i="21"/>
  <c r="W12" i="21"/>
  <c r="AC12" i="21"/>
  <c r="AB14" i="21"/>
  <c r="U14" i="21"/>
  <c r="D18" i="9"/>
  <c r="M44" i="9" s="1"/>
  <c r="M43" i="9"/>
  <c r="AA23" i="39"/>
  <c r="S23" i="39"/>
  <c r="D21" i="12"/>
  <c r="C21" i="12" s="1"/>
  <c r="I55" i="44"/>
  <c r="L57" i="44"/>
  <c r="L59" i="44"/>
  <c r="Q75" i="44" s="1"/>
  <c r="J54" i="44"/>
  <c r="Q54" i="44" s="1"/>
  <c r="J58" i="44"/>
  <c r="J56" i="44" s="1"/>
  <c r="J59" i="44" s="1"/>
  <c r="Q52" i="44" s="1"/>
  <c r="L59" i="15"/>
  <c r="Q75" i="15" s="1"/>
  <c r="L58" i="15"/>
  <c r="Q61" i="15" s="1"/>
  <c r="Q73" i="44"/>
  <c r="C8" i="44"/>
  <c r="C34" i="44" s="1"/>
  <c r="F33" i="44"/>
  <c r="F65" i="15"/>
  <c r="F67" i="15"/>
  <c r="C29" i="44"/>
  <c r="M9" i="44"/>
  <c r="J8" i="44" s="1"/>
  <c r="J20" i="44" s="1"/>
  <c r="C27" i="15"/>
  <c r="F31" i="15"/>
  <c r="F63" i="15"/>
  <c r="Q72" i="15"/>
  <c r="M17" i="15"/>
  <c r="B16" i="59"/>
  <c r="B15" i="59" s="1"/>
  <c r="B14" i="59" s="1"/>
  <c r="B13" i="59" s="1"/>
  <c r="S17" i="59"/>
  <c r="V25" i="59"/>
  <c r="F24" i="59"/>
  <c r="F23" i="59" s="1"/>
  <c r="F22" i="59" s="1"/>
  <c r="F21" i="59" s="1"/>
  <c r="D28" i="59"/>
  <c r="C27" i="59"/>
  <c r="D27" i="59" s="1"/>
  <c r="N68" i="59"/>
  <c r="B67" i="59"/>
  <c r="AB34" i="35"/>
  <c r="U34" i="35"/>
  <c r="S12" i="33"/>
  <c r="AA12" i="33"/>
  <c r="W12" i="33"/>
  <c r="AC12" i="33"/>
  <c r="AA9" i="33"/>
  <c r="S9" i="33"/>
  <c r="AC9" i="33"/>
  <c r="W9" i="33"/>
  <c r="S9" i="21"/>
  <c r="AA9" i="21"/>
  <c r="AB26" i="37"/>
  <c r="U26" i="37"/>
  <c r="J7" i="33"/>
  <c r="U25" i="59"/>
  <c r="E24" i="59"/>
  <c r="E23" i="59" s="1"/>
  <c r="E22" i="59" s="1"/>
  <c r="E21" i="59" s="1"/>
  <c r="S29" i="59"/>
  <c r="B28" i="59"/>
  <c r="B27" i="59" s="1"/>
  <c r="C40" i="59"/>
  <c r="D39" i="59"/>
  <c r="C32" i="59"/>
  <c r="D31" i="59"/>
  <c r="AA34" i="35"/>
  <c r="S34" i="35"/>
  <c r="AC34" i="35"/>
  <c r="W34" i="35"/>
  <c r="U12" i="33"/>
  <c r="AB12" i="33"/>
  <c r="W12" i="35"/>
  <c r="AC12" i="35"/>
  <c r="AB9" i="33"/>
  <c r="U9" i="33"/>
  <c r="AB9" i="21"/>
  <c r="U9" i="21"/>
  <c r="S39" i="37"/>
  <c r="AA39" i="37"/>
  <c r="U39" i="37"/>
  <c r="AB39" i="37"/>
  <c r="S26" i="37"/>
  <c r="AA26" i="37"/>
  <c r="C18" i="59"/>
  <c r="D19" i="59"/>
  <c r="E83" i="46"/>
  <c r="B81" i="46" s="1"/>
  <c r="D26" i="46"/>
  <c r="C25" i="46" s="1"/>
  <c r="BA5" i="3"/>
  <c r="E12" i="6"/>
  <c r="E63" i="39"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G35" i="6" s="1"/>
  <c r="E58" i="39"/>
  <c r="E10" i="6"/>
  <c r="E14" i="6"/>
  <c r="E65" i="39" s="1"/>
  <c r="E13" i="6"/>
  <c r="E59" i="40" s="1"/>
  <c r="E11" i="6"/>
  <c r="E62" i="39" s="1"/>
  <c r="E28" i="6"/>
  <c r="G5" i="3"/>
  <c r="B3" i="3" s="1"/>
  <c r="E58" i="40"/>
  <c r="E66" i="39"/>
  <c r="E61" i="40"/>
  <c r="K14" i="1"/>
  <c r="H7" i="34"/>
  <c r="U7" i="34" s="1"/>
  <c r="F7" i="34"/>
  <c r="AA7" i="34" s="1"/>
  <c r="R49" i="34" s="1"/>
  <c r="J7" i="34"/>
  <c r="W7" i="34" s="1"/>
  <c r="F7" i="21"/>
  <c r="AA7" i="21" s="1"/>
  <c r="H7" i="21"/>
  <c r="AB7" i="21" s="1"/>
  <c r="T48" i="21" s="1"/>
  <c r="G48" i="21" s="1"/>
  <c r="B12" i="59"/>
  <c r="S13" i="59"/>
  <c r="F58" i="15"/>
  <c r="H7" i="35"/>
  <c r="U7" i="35" s="1"/>
  <c r="E64" i="40"/>
  <c r="D66" i="40"/>
  <c r="AC7" i="33"/>
  <c r="V48" i="33" s="1"/>
  <c r="I48" i="33" s="1"/>
  <c r="W7" i="33"/>
  <c r="J7" i="37"/>
  <c r="D71" i="39"/>
  <c r="E69" i="39"/>
  <c r="AB7" i="34"/>
  <c r="T49" i="34" s="1"/>
  <c r="G49" i="34" s="1"/>
  <c r="H7" i="33"/>
  <c r="F7" i="33"/>
  <c r="J46" i="36"/>
  <c r="J7" i="35"/>
  <c r="F7" i="35"/>
  <c r="H7" i="37"/>
  <c r="F7" i="37"/>
  <c r="M19" i="44"/>
  <c r="F17" i="11"/>
  <c r="C17" i="11" s="1"/>
  <c r="C19" i="11" s="1"/>
  <c r="M13" i="44"/>
  <c r="J12" i="44" s="1"/>
  <c r="F11" i="15"/>
  <c r="M11" i="15"/>
  <c r="F13" i="44"/>
  <c r="C12" i="44" s="1"/>
  <c r="M32" i="46"/>
  <c r="P32" i="46"/>
  <c r="O32" i="46"/>
  <c r="N32" i="46"/>
  <c r="Q63" i="44"/>
  <c r="Q76" i="44"/>
  <c r="F1" i="15"/>
  <c r="AE6" i="1"/>
  <c r="AE12" i="1"/>
  <c r="AE8" i="1"/>
  <c r="AE10" i="1"/>
  <c r="AE11" i="1"/>
  <c r="AE9" i="1"/>
  <c r="M8" i="78"/>
  <c r="M26" i="78"/>
  <c r="M22" i="78"/>
  <c r="F13" i="78"/>
  <c r="M6" i="78"/>
  <c r="F6" i="78"/>
  <c r="C18" i="44"/>
  <c r="F43" i="15"/>
  <c r="AE7" i="1"/>
  <c r="M29" i="15"/>
  <c r="L47" i="78"/>
  <c r="M28" i="78"/>
  <c r="F8" i="78"/>
  <c r="F36" i="78"/>
  <c r="F7" i="78"/>
  <c r="L48" i="78"/>
  <c r="F16" i="78"/>
  <c r="J15" i="78"/>
  <c r="F42" i="78"/>
  <c r="J36" i="78"/>
  <c r="F40" i="78"/>
  <c r="F9" i="78"/>
  <c r="F7" i="15"/>
  <c r="E2" i="65"/>
  <c r="F46" i="44"/>
  <c r="M23" i="78"/>
  <c r="F38" i="78"/>
  <c r="M27" i="78"/>
  <c r="F37" i="78"/>
  <c r="M9" i="78"/>
  <c r="M24" i="78"/>
  <c r="F26" i="78"/>
  <c r="C27" i="78" l="1"/>
  <c r="L56" i="78"/>
  <c r="J60" i="78"/>
  <c r="Q49" i="78" s="1"/>
  <c r="L57" i="78"/>
  <c r="J59" i="78"/>
  <c r="L60" i="78"/>
  <c r="I54" i="78"/>
  <c r="J53" i="78"/>
  <c r="J57" i="78"/>
  <c r="J55" i="78" s="1"/>
  <c r="J58" i="78" s="1"/>
  <c r="Q51" i="78" s="1"/>
  <c r="M7" i="78"/>
  <c r="J6" i="78" s="1"/>
  <c r="J5" i="78" s="1"/>
  <c r="J24" i="78" s="1"/>
  <c r="F49" i="78"/>
  <c r="F63" i="78"/>
  <c r="F64" i="78"/>
  <c r="F50" i="78"/>
  <c r="F65" i="78"/>
  <c r="L59" i="78"/>
  <c r="L58" i="78"/>
  <c r="C6" i="78"/>
  <c r="C10" i="78" s="1"/>
  <c r="C5" i="78" s="1"/>
  <c r="F67" i="78"/>
  <c r="F48" i="78"/>
  <c r="Q72" i="78"/>
  <c r="P66" i="59"/>
  <c r="P67" i="59"/>
  <c r="H7" i="75"/>
  <c r="J7" i="75"/>
  <c r="C37" i="59"/>
  <c r="D36" i="59"/>
  <c r="AA7" i="75"/>
  <c r="R48" i="75" s="1"/>
  <c r="S7" i="75"/>
  <c r="O9" i="1"/>
  <c r="P9" i="1" s="1"/>
  <c r="AC7" i="21"/>
  <c r="V48" i="21" s="1"/>
  <c r="I48" i="21" s="1"/>
  <c r="C52" i="78"/>
  <c r="R48" i="21"/>
  <c r="E48" i="21" s="1"/>
  <c r="B40" i="1"/>
  <c r="T57" i="59"/>
  <c r="D57" i="59"/>
  <c r="T65" i="59"/>
  <c r="D65" i="59"/>
  <c r="S7" i="34"/>
  <c r="Q16" i="1"/>
  <c r="G16" i="1"/>
  <c r="J12" i="40" s="1"/>
  <c r="AC12" i="40" s="1"/>
  <c r="Q62" i="15"/>
  <c r="M7" i="15"/>
  <c r="J6" i="15" s="1"/>
  <c r="J18" i="15" s="1"/>
  <c r="F49" i="15"/>
  <c r="C48" i="15" s="1"/>
  <c r="C6" i="15"/>
  <c r="C32" i="15" s="1"/>
  <c r="F70" i="15"/>
  <c r="AP16" i="1"/>
  <c r="F22" i="11" s="1"/>
  <c r="M6" i="1"/>
  <c r="C15" i="43" s="1"/>
  <c r="F1" i="44"/>
  <c r="O6" i="1"/>
  <c r="P6" i="1" s="1"/>
  <c r="C15" i="12" s="1"/>
  <c r="J7" i="44"/>
  <c r="J26" i="44" s="1"/>
  <c r="C7" i="44"/>
  <c r="C40" i="44" s="1"/>
  <c r="Q74" i="15"/>
  <c r="Q62" i="44"/>
  <c r="J60" i="44"/>
  <c r="J61" i="44" s="1"/>
  <c r="Q50" i="44" s="1"/>
  <c r="C17" i="59"/>
  <c r="D18" i="59"/>
  <c r="C33" i="59"/>
  <c r="D32" i="59"/>
  <c r="C41" i="59"/>
  <c r="D40" i="59"/>
  <c r="N66" i="59"/>
  <c r="N67" i="59"/>
  <c r="F20" i="59"/>
  <c r="F19" i="59" s="1"/>
  <c r="F18" i="59" s="1"/>
  <c r="F17" i="59" s="1"/>
  <c r="V21" i="59"/>
  <c r="E20" i="59"/>
  <c r="E19" i="59" s="1"/>
  <c r="E18" i="59" s="1"/>
  <c r="E17" i="59" s="1"/>
  <c r="U21" i="59"/>
  <c r="D46" i="9"/>
  <c r="C21" i="4"/>
  <c r="O5" i="54" s="1"/>
  <c r="B45" i="63" s="1"/>
  <c r="E6" i="6"/>
  <c r="D13" i="11" s="1"/>
  <c r="C13" i="11" s="1"/>
  <c r="AC7" i="34"/>
  <c r="V49" i="34" s="1"/>
  <c r="I49" i="34" s="1"/>
  <c r="I53" i="34" s="1"/>
  <c r="J53"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F12" i="40"/>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G52" i="21"/>
  <c r="H52" i="21" s="1"/>
  <c r="R50" i="34"/>
  <c r="E49" i="34"/>
  <c r="I52" i="33"/>
  <c r="J52" i="33" s="1"/>
  <c r="E66" i="40"/>
  <c r="F64" i="40"/>
  <c r="C52" i="15"/>
  <c r="C20" i="11"/>
  <c r="C21" i="11" s="1"/>
  <c r="C22" i="11" s="1"/>
  <c r="C23" i="11" s="1"/>
  <c r="B2" i="11" s="1"/>
  <c r="M29" i="44"/>
  <c r="C16" i="78"/>
  <c r="M27" i="15"/>
  <c r="C16" i="15"/>
  <c r="F41" i="78"/>
  <c r="F41" i="15"/>
  <c r="J26" i="78" l="1"/>
  <c r="C48" i="78"/>
  <c r="C60" i="78" s="1"/>
  <c r="E48" i="75"/>
  <c r="T37" i="59"/>
  <c r="D37" i="59"/>
  <c r="AC7" i="75"/>
  <c r="V48" i="75" s="1"/>
  <c r="I48" i="75" s="1"/>
  <c r="W7" i="75"/>
  <c r="C32" i="78"/>
  <c r="C33" i="78"/>
  <c r="Q62" i="78"/>
  <c r="Q75" i="78"/>
  <c r="J19" i="78"/>
  <c r="J18" i="78"/>
  <c r="Q53" i="78"/>
  <c r="F1" i="78"/>
  <c r="Q58" i="78"/>
  <c r="Q67" i="78"/>
  <c r="U7" i="75"/>
  <c r="AB7" i="75"/>
  <c r="T48" i="75" s="1"/>
  <c r="G48" i="75" s="1"/>
  <c r="Q74" i="78"/>
  <c r="Q61" i="78"/>
  <c r="F68" i="15"/>
  <c r="I52" i="21"/>
  <c r="J52" i="21" s="1"/>
  <c r="G53" i="21"/>
  <c r="H53" i="21" s="1"/>
  <c r="C10" i="15"/>
  <c r="C5" i="15" s="1"/>
  <c r="C38" i="15" s="1"/>
  <c r="F68" i="78"/>
  <c r="J29" i="78"/>
  <c r="L36" i="46"/>
  <c r="P36" i="46" s="1"/>
  <c r="F24" i="78"/>
  <c r="C38" i="78"/>
  <c r="R49" i="21"/>
  <c r="C48" i="21" s="1"/>
  <c r="C47" i="15"/>
  <c r="C59" i="15" s="1"/>
  <c r="J5" i="15"/>
  <c r="J24" i="15" s="1"/>
  <c r="F12" i="39"/>
  <c r="H12" i="39"/>
  <c r="U12" i="39" s="1"/>
  <c r="F21" i="43"/>
  <c r="F33" i="12"/>
  <c r="C34" i="12" s="1"/>
  <c r="D33" i="12" s="1"/>
  <c r="B14" i="66"/>
  <c r="B1" i="66" s="1"/>
  <c r="C7" i="66" s="1"/>
  <c r="D22" i="12"/>
  <c r="C22" i="12" s="1"/>
  <c r="C20" i="12" s="1"/>
  <c r="E16" i="59"/>
  <c r="E15" i="59" s="1"/>
  <c r="E14" i="59" s="1"/>
  <c r="E13" i="59" s="1"/>
  <c r="U17" i="59"/>
  <c r="F16" i="59"/>
  <c r="F15" i="59" s="1"/>
  <c r="F14" i="59" s="1"/>
  <c r="F13" i="59" s="1"/>
  <c r="V17" i="59"/>
  <c r="T41" i="59"/>
  <c r="D41" i="59"/>
  <c r="T33" i="59"/>
  <c r="D33" i="59"/>
  <c r="C16" i="59"/>
  <c r="T17" i="59"/>
  <c r="D17" i="59"/>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47" i="78" l="1"/>
  <c r="G53" i="75"/>
  <c r="H53" i="75" s="1"/>
  <c r="G52" i="75"/>
  <c r="H52" i="75" s="1"/>
  <c r="E53" i="75"/>
  <c r="F53" i="75" s="1"/>
  <c r="E52" i="75"/>
  <c r="F52" i="75" s="1"/>
  <c r="I53" i="75"/>
  <c r="J53" i="75" s="1"/>
  <c r="I52" i="75"/>
  <c r="J52" i="75" s="1"/>
  <c r="R49" i="75"/>
  <c r="C49" i="21"/>
  <c r="B3" i="21" s="1"/>
  <c r="B2" i="21" s="1"/>
  <c r="C10" i="12" s="1"/>
  <c r="C65" i="15"/>
  <c r="N36" i="46"/>
  <c r="L37" i="46"/>
  <c r="P37" i="46" s="1"/>
  <c r="M36" i="46"/>
  <c r="O36" i="46"/>
  <c r="Q36" i="46"/>
  <c r="C24" i="78"/>
  <c r="B5" i="11"/>
  <c r="C40" i="39"/>
  <c r="C8" i="66"/>
  <c r="E40" i="46"/>
  <c r="K27" i="6"/>
  <c r="D16" i="59"/>
  <c r="C15" i="59"/>
  <c r="V13" i="59"/>
  <c r="F12" i="59"/>
  <c r="F11" i="59" s="1"/>
  <c r="F10" i="59" s="1"/>
  <c r="F9" i="59" s="1"/>
  <c r="V9" i="59" s="1"/>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E7" i="67"/>
  <c r="B7" i="67"/>
  <c r="C17" i="78"/>
  <c r="C19" i="44"/>
  <c r="C65" i="78" l="1"/>
  <c r="C59" i="78"/>
  <c r="C48" i="75"/>
  <c r="C49" i="75"/>
  <c r="B3" i="75" s="1"/>
  <c r="C8" i="12"/>
  <c r="O37" i="46"/>
  <c r="N37" i="46"/>
  <c r="M37" i="46"/>
  <c r="Q37" i="46"/>
  <c r="H40" i="39"/>
  <c r="F40" i="39"/>
  <c r="J40" i="39"/>
  <c r="C14" i="66"/>
  <c r="B2" i="66" s="1"/>
  <c r="H23" i="6"/>
  <c r="H22" i="6"/>
  <c r="R22" i="6" s="1"/>
  <c r="R9" i="1" s="1"/>
  <c r="M27" i="6"/>
  <c r="D15" i="59"/>
  <c r="C14"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5" i="78"/>
  <c r="M21" i="78"/>
  <c r="C14" i="78"/>
  <c r="F37" i="44"/>
  <c r="M21" i="15"/>
  <c r="C16" i="44"/>
  <c r="C14" i="15"/>
  <c r="M23" i="44"/>
  <c r="F35" i="15"/>
  <c r="E8" i="12" l="1"/>
  <c r="B2" i="75"/>
  <c r="E10" i="12" s="1"/>
  <c r="C34" i="78"/>
  <c r="C31" i="78" s="1"/>
  <c r="F62" i="78"/>
  <c r="C61" i="78" s="1"/>
  <c r="C58" i="78" s="1"/>
  <c r="J20" i="78"/>
  <c r="J17" i="78" s="1"/>
  <c r="C18" i="78"/>
  <c r="C15" i="78"/>
  <c r="C19" i="78" s="1"/>
  <c r="D8" i="66"/>
  <c r="D7" i="66"/>
  <c r="AA40" i="39"/>
  <c r="S40" i="39"/>
  <c r="AC40" i="39"/>
  <c r="W40" i="39"/>
  <c r="AB40" i="39"/>
  <c r="U40" i="39"/>
  <c r="C13" i="59"/>
  <c r="D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C20" i="78" l="1"/>
  <c r="C26" i="78" s="1"/>
  <c r="J13" i="39"/>
  <c r="F13" i="39"/>
  <c r="H13" i="39"/>
  <c r="T13" i="59"/>
  <c r="C12" i="59"/>
  <c r="D13"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C23" i="78" l="1"/>
  <c r="C29" i="78" s="1"/>
  <c r="AB13" i="39"/>
  <c r="U13" i="39"/>
  <c r="AC13" i="39"/>
  <c r="W13" i="39"/>
  <c r="S13" i="39"/>
  <c r="AA13" i="39"/>
  <c r="AA7" i="36"/>
  <c r="R36" i="36" s="1"/>
  <c r="E36" i="36" s="1"/>
  <c r="I41" i="36" s="1"/>
  <c r="J41" i="36" s="1"/>
  <c r="C11" i="59"/>
  <c r="D12" i="59"/>
  <c r="E5" i="59"/>
  <c r="U5" i="59" s="1"/>
  <c r="B5" i="59"/>
  <c r="C21" i="43"/>
  <c r="R37" i="36"/>
  <c r="K66" i="40"/>
  <c r="L64" i="40"/>
  <c r="G41" i="36"/>
  <c r="H41" i="36" s="1"/>
  <c r="G40" i="36"/>
  <c r="H40" i="36" s="1"/>
  <c r="I40" i="36"/>
  <c r="J40" i="36" s="1"/>
  <c r="L69" i="39"/>
  <c r="K71" i="39"/>
  <c r="C36" i="78" l="1"/>
  <c r="C56" i="78"/>
  <c r="C63" i="78" s="1"/>
  <c r="Q50" i="78"/>
  <c r="J14" i="78"/>
  <c r="J13" i="78" s="1"/>
  <c r="J23" i="78" s="1"/>
  <c r="C13" i="78"/>
  <c r="C37" i="78" s="1"/>
  <c r="J22" i="78"/>
  <c r="C10" i="59"/>
  <c r="D11" i="59"/>
  <c r="S5" i="59"/>
  <c r="L71" i="39"/>
  <c r="M69" i="39"/>
  <c r="M64" i="40"/>
  <c r="L66" i="40"/>
  <c r="E40" i="36"/>
  <c r="F40" i="36" s="1"/>
  <c r="E41" i="36"/>
  <c r="F41" i="36" s="1"/>
  <c r="C37" i="36"/>
  <c r="B3" i="36" s="1"/>
  <c r="B2" i="36" s="1"/>
  <c r="C36" i="36"/>
  <c r="C30" i="78" l="1"/>
  <c r="C39" i="78" s="1"/>
  <c r="Q71" i="78"/>
  <c r="C55" i="78"/>
  <c r="C64" i="78" s="1"/>
  <c r="C57" i="78" s="1"/>
  <c r="C66" i="78" s="1"/>
  <c r="C67" i="78" s="1"/>
  <c r="C70" i="78" s="1"/>
  <c r="J35" i="78"/>
  <c r="C40" i="78"/>
  <c r="J16" i="78"/>
  <c r="J25" i="78" s="1"/>
  <c r="C9" i="59"/>
  <c r="D10" i="59"/>
  <c r="N64" i="40"/>
  <c r="N66" i="40" s="1"/>
  <c r="M66" i="40"/>
  <c r="N69" i="39"/>
  <c r="N71" i="39" s="1"/>
  <c r="M71" i="39"/>
  <c r="L51" i="78"/>
  <c r="Q68" i="78" l="1"/>
  <c r="Q70" i="78"/>
  <c r="Q69" i="78" s="1"/>
  <c r="J39" i="78"/>
  <c r="J40" i="78" s="1"/>
  <c r="Q57" i="78"/>
  <c r="Q63" i="78" s="1"/>
  <c r="C43" i="78"/>
  <c r="J42" i="78"/>
  <c r="J43" i="78" s="1"/>
  <c r="Q66" i="78"/>
  <c r="Q76" i="78" s="1"/>
  <c r="Q48" i="78"/>
  <c r="Q54" i="78" s="1"/>
  <c r="B2" i="78"/>
  <c r="B3" i="78" s="1"/>
  <c r="C46" i="78"/>
  <c r="C8" i="59"/>
  <c r="T9" i="59"/>
  <c r="D9" i="59"/>
  <c r="J9" i="40"/>
  <c r="H9" i="40"/>
  <c r="F9" i="40"/>
  <c r="J9" i="39"/>
  <c r="H9" i="39"/>
  <c r="F9" i="39"/>
  <c r="C7" i="59" l="1"/>
  <c r="D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7" i="59" l="1"/>
  <c r="C6" i="59"/>
  <c r="R45" i="40"/>
  <c r="E44" i="40"/>
  <c r="G53" i="39"/>
  <c r="H53" i="39" s="1"/>
  <c r="G54" i="39"/>
  <c r="H54" i="39" s="1"/>
  <c r="G48" i="40"/>
  <c r="H48" i="40" s="1"/>
  <c r="G49" i="40"/>
  <c r="H49" i="40" s="1"/>
  <c r="I53" i="39"/>
  <c r="J53" i="39" s="1"/>
  <c r="R50" i="39"/>
  <c r="E49" i="39"/>
  <c r="I54" i="39" s="1"/>
  <c r="J54" i="39" s="1"/>
  <c r="D6" i="59" l="1"/>
  <c r="C5" i="59"/>
  <c r="E54" i="39"/>
  <c r="F54" i="39" s="1"/>
  <c r="E53" i="39"/>
  <c r="F53" i="39" s="1"/>
  <c r="I49" i="40"/>
  <c r="J49" i="40" s="1"/>
  <c r="E49" i="40"/>
  <c r="F49" i="40" s="1"/>
  <c r="E48" i="40"/>
  <c r="F48" i="40" s="1"/>
  <c r="C49" i="39"/>
  <c r="C50" i="39"/>
  <c r="C44" i="40"/>
  <c r="C45" i="40"/>
  <c r="T5" i="59" l="1"/>
  <c r="D5" i="59"/>
  <c r="M24" i="4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10" i="12"/>
  <c r="N36" i="15" l="1"/>
  <c r="N37" i="15"/>
  <c r="N35" i="15"/>
  <c r="D8" i="12"/>
  <c r="C6" i="12"/>
  <c r="C24" i="12" s="1"/>
  <c r="C28" i="12" s="1"/>
  <c r="C26" i="12" s="1"/>
  <c r="N38" i="15" l="1"/>
  <c r="C35" i="12"/>
  <c r="C33" i="12" s="1"/>
  <c r="C29" i="12"/>
  <c r="C31" i="12" s="1"/>
  <c r="C30" i="12" s="1"/>
  <c r="C36" i="12" l="1"/>
  <c r="B2" i="12" s="1"/>
  <c r="B3" i="12" s="1"/>
  <c r="D19" i="9"/>
  <c r="D20" i="9"/>
  <c r="B5" i="12" l="1"/>
  <c r="L44" i="9"/>
  <c r="G19" i="9"/>
  <c r="N43" i="9" s="1"/>
  <c r="D22" i="9"/>
  <c r="B4" i="12"/>
  <c r="G20" i="9"/>
  <c r="D21" i="9"/>
  <c r="C27" i="9" l="1"/>
  <c r="G22" i="9"/>
  <c r="C32" i="9"/>
  <c r="C33" i="9" s="1"/>
  <c r="G21" i="9"/>
  <c r="O43" i="9" l="1"/>
  <c r="C34" i="9"/>
  <c r="M38" i="9" s="1"/>
  <c r="K27" i="9" s="1"/>
  <c r="C42" i="9"/>
  <c r="R5" i="54" s="1"/>
  <c r="B48" i="63" s="1"/>
  <c r="O38" i="9"/>
  <c r="K25" i="9" s="1"/>
  <c r="C35" i="9"/>
  <c r="F42" i="9" s="1"/>
  <c r="E42" i="9"/>
  <c r="P5" i="54" s="1"/>
  <c r="B46" i="63" s="1"/>
  <c r="D42" i="9"/>
  <c r="Q5" i="54" s="1"/>
  <c r="B47" i="63" s="1"/>
  <c r="N38" i="9"/>
  <c r="K28" i="9" s="1"/>
  <c r="N68" i="9" l="1"/>
  <c r="D63" i="9"/>
  <c r="C90" i="9" s="1"/>
  <c r="C44" i="9"/>
  <c r="O39" i="9" s="1"/>
  <c r="D14" i="66"/>
  <c r="B5" i="66" s="1"/>
  <c r="K26" i="9"/>
  <c r="C96" i="9" l="1"/>
  <c r="C91" i="9" s="1"/>
  <c r="C97" i="9" s="1"/>
  <c r="G14" i="66"/>
  <c r="B6" i="66" s="1"/>
  <c r="C6" i="66" s="1"/>
  <c r="D73" i="9"/>
  <c r="N73" i="9" s="1"/>
  <c r="F14" i="66"/>
  <c r="C111" i="9"/>
  <c r="C104" i="9" s="1"/>
  <c r="C82" i="9"/>
  <c r="C81" i="9" s="1"/>
  <c r="C85" i="9" s="1"/>
  <c r="C86" i="9" s="1"/>
  <c r="D72" i="9" s="1"/>
  <c r="E14" i="66"/>
  <c r="D70" i="9"/>
  <c r="C103" i="9"/>
  <c r="D71" i="9"/>
  <c r="D66" i="9" s="1"/>
  <c r="N72" i="9" s="1"/>
  <c r="N69" i="9"/>
  <c r="M83" i="9" s="1"/>
  <c r="N83" i="9" s="1"/>
  <c r="D44" i="9"/>
  <c r="E44" i="9"/>
  <c r="F44" i="9"/>
  <c r="D5" i="66"/>
  <c r="C5" i="66"/>
  <c r="M88" i="9"/>
  <c r="N88" i="9" s="1"/>
  <c r="R6" i="54"/>
  <c r="B50" i="63" s="1"/>
  <c r="K29" i="9"/>
  <c r="K30" i="9" s="1"/>
  <c r="C113" i="9" l="1"/>
  <c r="C114" i="9" s="1"/>
  <c r="E114" i="9" s="1"/>
  <c r="E115" i="9" s="1"/>
  <c r="D6" i="66"/>
  <c r="M86" i="9"/>
  <c r="N86" i="9" s="1"/>
  <c r="M85" i="9"/>
  <c r="N85" i="9" s="1"/>
  <c r="M87" i="9"/>
  <c r="N87" i="9" s="1"/>
  <c r="M84" i="9"/>
  <c r="N84" i="9" s="1"/>
  <c r="C98" i="9"/>
  <c r="E98" i="9" s="1"/>
  <c r="E99" i="9" s="1"/>
  <c r="N89" i="9" l="1"/>
  <c r="O89" i="9" s="1"/>
  <c r="C99" i="9"/>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<sst xmlns="http://schemas.openxmlformats.org/spreadsheetml/2006/main" count="8671" uniqueCount="3610">
  <si>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</si>
  <si>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</si>
  <si>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</si>
  <si>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</si>
  <si>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</si>
  <si>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</si>
  <si>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</si>
  <si>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</si>
  <si>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</si>
  <si>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</si>
  <si>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</si>
  <si>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</si>
  <si>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</si>
  <si>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</si>
  <si>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</si>
  <si>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</si>
  <si>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</si>
  <si>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</si>
  <si>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</si>
  <si>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</si>
  <si>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</si>
  <si>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</si>
  <si>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</si>
  <si>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</si>
  <si>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</si>
  <si>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</si>
  <si>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</si>
  <si>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</si>
  <si>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</si>
  <si>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</si>
  <si>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</si>
  <si>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</si>
  <si>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</si>
  <si>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</si>
  <si>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</si>
  <si>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</si>
  <si>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</si>
  <si>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</si>
  <si>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</si>
  <si>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</si>
  <si>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</si>
  <si>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</si>
  <si>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</si>
  <si>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</si>
  <si>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</si>
  <si>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</si>
  <si>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</si>
  <si>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</si>
  <si>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</si>
  <si>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</si>
  <si>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</si>
  <si>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</si>
  <si>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</si>
  <si>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</si>
  <si>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</si>
  <si>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</si>
  <si>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</si>
  <si>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</si>
  <si>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</si>
  <si>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</si>
  <si>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</si>
  <si>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</si>
  <si>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</si>
  <si>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</si>
  <si>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</si>
  <si>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</si>
  <si>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</si>
  <si>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</si>
  <si>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</si>
  <si>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</si>
  <si>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</si>
  <si>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</si>
  <si>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</si>
  <si>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</si>
  <si>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</si>
  <si>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</si>
  <si>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</si>
  <si>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</si>
  <si>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</si>
  <si>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</si>
  <si>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</si>
  <si>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</si>
  <si>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</si>
  <si>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</si>
  <si>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</si>
  <si>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</si>
  <si>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</si>
  <si>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</si>
  <si>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</si>
  <si>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</si>
  <si>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</si>
  <si>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</si>
  <si>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</si>
  <si>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</si>
  <si>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</si>
  <si>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</si>
  <si>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</si>
  <si>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</si>
  <si>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</si>
  <si>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</si>
  <si>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</si>
  <si>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</si>
  <si>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</si>
  <si>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</si>
  <si>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</si>
  <si>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</si>
  <si>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</si>
  <si>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</si>
  <si>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</si>
  <si>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</si>
  <si>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</si>
  <si>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</si>
  <si>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</si>
  <si>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</si>
  <si>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</si>
  <si>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</si>
  <si>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</si>
  <si>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</si>
  <si>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</si>
  <si>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</si>
  <si>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</si>
  <si>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</si>
  <si>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</si>
  <si>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</si>
  <si>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</si>
  <si>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</si>
  <si>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</si>
  <si>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</si>
  <si>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</si>
  <si>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</si>
  <si>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</si>
  <si>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</si>
  <si>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</si>
  <si>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</si>
  <si>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</si>
  <si>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</si>
  <si>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</si>
  <si>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</si>
  <si>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</si>
  <si>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</si>
  <si>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</si>
  <si>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</si>
  <si>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</si>
  <si>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</si>
  <si>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</si>
  <si>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</si>
  <si>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</si>
  <si>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</si>
  <si>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</si>
  <si>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</si>
  <si>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</si>
  <si>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</si>
  <si>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</si>
  <si>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</si>
  <si>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</si>
  <si>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</si>
  <si>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</si>
  <si>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</si>
  <si>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</si>
  <si>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</si>
  <si>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</si>
  <si>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</si>
  <si>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</si>
  <si>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</si>
  <si>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</si>
  <si>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</si>
  <si>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</si>
  <si>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</si>
  <si>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</si>
  <si>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</si>
  <si>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</si>
  <si>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</si>
  <si>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</si>
  <si>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</si>
  <si>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</si>
  <si>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</si>
  <si>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</si>
  <si>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</si>
  <si>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</si>
  <si>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</si>
  <si>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</si>
  <si>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</si>
  <si>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</si>
  <si>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</si>
  <si>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</si>
  <si>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</si>
  <si>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</si>
  <si>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</si>
  <si>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</si>
  <si>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</si>
  <si>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</si>
  <si>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</si>
  <si>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</si>
  <si>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</si>
  <si>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</si>
  <si>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</si>
  <si>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</si>
  <si>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</si>
  <si>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</si>
  <si>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</si>
  <si>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</si>
  <si>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</si>
  <si>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</si>
  <si>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</si>
  <si>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</si>
  <si>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</si>
  <si>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</si>
  <si>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</si>
  <si>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</si>
  <si>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</si>
  <si>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</si>
  <si>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</si>
  <si>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</si>
  <si>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</si>
  <si>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</si>
  <si>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</si>
  <si>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</si>
  <si>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</si>
  <si>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</si>
  <si>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</si>
  <si>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</si>
  <si>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</si>
  <si>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</si>
  <si>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</si>
  <si>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</si>
  <si>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</si>
  <si>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</si>
  <si>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</si>
  <si>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</si>
  <si>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</si>
  <si>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</si>
  <si>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</si>
  <si>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</si>
  <si>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</si>
  <si>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</si>
  <si>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</si>
  <si>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</si>
  <si>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</si>
  <si>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</si>
  <si>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</si>
  <si>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</si>
  <si>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</si>
  <si>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</si>
  <si>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</si>
  <si>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</si>
  <si>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</si>
  <si>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</si>
  <si>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</si>
  <si>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</si>
  <si>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</si>
  <si>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</si>
  <si>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</si>
  <si>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</si>
  <si>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</si>
  <si>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</si>
  <si>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</si>
  <si>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</si>
  <si>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</si>
  <si>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</si>
  <si>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</si>
  <si>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</si>
  <si>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</si>
  <si>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</si>
  <si>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</si>
  <si>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</si>
  <si>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</si>
  <si>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</si>
  <si>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</si>
  <si>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</si>
  <si>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</si>
  <si>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</si>
  <si>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</si>
  <si>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</si>
  <si>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</si>
  <si>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</si>
  <si>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</si>
  <si>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</si>
  <si>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</si>
  <si>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</si>
  <si>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</si>
  <si>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</si>
  <si>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</si>
  <si>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</si>
  <si>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</si>
  <si>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</si>
  <si>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</si>
  <si>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</si>
  <si>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</si>
  <si>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</si>
  <si>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</si>
  <si>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</si>
  <si>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</si>
  <si>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</si>
  <si>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</si>
  <si>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</si>
  <si>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</si>
  <si>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</si>
  <si>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</si>
  <si>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</si>
  <si>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</si>
  <si>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</si>
  <si>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</si>
  <si>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</si>
  <si>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</si>
  <si>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</si>
  <si>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</si>
  <si>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</si>
  <si>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</si>
  <si>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</si>
  <si>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</si>
  <si>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</si>
  <si>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</si>
  <si>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</si>
  <si>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</si>
  <si>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</si>
  <si>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</si>
  <si>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</si>
  <si>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</si>
  <si>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</si>
  <si>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</si>
  <si>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</si>
  <si>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</si>
  <si>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</si>
  <si>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</si>
  <si>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</si>
  <si>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</si>
  <si>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</si>
  <si>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</si>
  <si>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</si>
  <si>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</si>
  <si>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</si>
  <si>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</si>
  <si>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</si>
  <si>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</si>
  <si>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</si>
  <si>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</si>
  <si>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</si>
  <si>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</si>
  <si>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</si>
  <si>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</si>
  <si>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</si>
  <si>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</si>
  <si>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</si>
  <si>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</si>
  <si>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</si>
  <si>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</si>
  <si>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</si>
  <si>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</si>
  <si>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</si>
  <si>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</si>
  <si>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</si>
  <si>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</si>
  <si>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</si>
  <si>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</si>
  <si>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</si>
  <si>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</si>
  <si>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</si>
  <si>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</si>
  <si>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</si>
  <si>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</si>
  <si>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</si>
  <si>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</si>
  <si>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</si>
  <si>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</si>
  <si>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</si>
  <si>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</si>
  <si>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</si>
  <si>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</si>
  <si>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</si>
  <si>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</si>
  <si>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</si>
  <si>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</si>
  <si>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</si>
  <si>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</si>
  <si>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</si>
  <si>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</si>
  <si>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</si>
  <si>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</si>
  <si>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</si>
  <si>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</si>
  <si>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</si>
  <si>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</si>
  <si>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</si>
  <si>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</si>
  <si>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</si>
  <si>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</si>
  <si>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</si>
  <si>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</si>
  <si>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</si>
  <si>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</si>
  <si>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</si>
  <si>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</si>
  <si>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</si>
  <si>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</si>
  <si>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</si>
  <si>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</si>
  <si>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</si>
  <si>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</si>
  <si>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</si>
  <si>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</si>
  <si>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</si>
  <si>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</si>
  <si>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</si>
  <si>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</si>
  <si>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</si>
  <si>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</si>
  <si>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</si>
  <si>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</si>
  <si>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</si>
  <si>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</si>
  <si>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</si>
  <si>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</si>
  <si>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</si>
  <si>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</si>
  <si>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</si>
  <si>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</si>
  <si>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</si>
  <si>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</si>
  <si>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</si>
  <si>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</si>
  <si>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</si>
  <si>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</si>
  <si>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</si>
  <si>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</si>
  <si>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</si>
  <si>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</si>
  <si>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</si>
  <si>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</si>
  <si>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</si>
  <si>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</si>
  <si>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</si>
  <si>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</si>
  <si>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</si>
  <si>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</si>
  <si>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</si>
  <si>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</si>
  <si>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</si>
  <si>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</si>
  <si>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</si>
  <si>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</si>
  <si>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</si>
  <si>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</si>
  <si>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</si>
  <si>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</si>
  <si>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</si>
  <si>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</si>
  <si>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</si>
  <si>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</si>
  <si>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</si>
  <si>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</si>
  <si>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</si>
  <si>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</si>
  <si>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</si>
  <si>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</si>
  <si>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</si>
  <si>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</si>
  <si>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</si>
  <si>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</si>
  <si>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</si>
  <si>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</si>
  <si>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</si>
  <si>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</si>
  <si>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</si>
  <si>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</si>
  <si>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</si>
  <si>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</si>
  <si>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</si>
  <si>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</si>
  <si>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</si>
  <si>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</si>
  <si>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</si>
  <si>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</si>
  <si>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</si>
  <si>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</si>
  <si>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</si>
  <si>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</si>
  <si>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</si>
  <si>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</si>
  <si>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</si>
  <si>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</si>
  <si>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</si>
  <si>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</si>
  <si>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</si>
  <si>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</si>
  <si>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</si>
  <si>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</si>
  <si>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</si>
  <si>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</si>
  <si>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</si>
  <si>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</si>
  <si>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</si>
  <si>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</si>
  <si>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</si>
  <si>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</si>
  <si>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</si>
  <si>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</si>
  <si>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</si>
  <si>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</si>
  <si>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</si>
  <si>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</si>
  <si>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</si>
  <si>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</si>
  <si>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</si>
  <si>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</si>
  <si>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</si>
  <si>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</si>
  <si>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</si>
  <si>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</si>
  <si>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</si>
  <si>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</si>
  <si>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</si>
  <si>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</si>
  <si>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</si>
  <si>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</si>
  <si>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</si>
  <si>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</si>
  <si>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</si>
  <si>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</si>
  <si>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</si>
  <si>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</si>
  <si>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</si>
  <si>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</si>
  <si>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</si>
  <si>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</si>
  <si>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</si>
  <si>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</si>
  <si>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</si>
  <si>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</si>
  <si>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</si>
  <si>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</si>
  <si>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</si>
  <si>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</si>
  <si>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</si>
  <si>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</si>
  <si>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</si>
  <si>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</si>
  <si>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</si>
  <si>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</si>
  <si>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</si>
  <si>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</si>
  <si>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</si>
  <si>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</si>
  <si>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</si>
  <si>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</si>
  <si>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</si>
  <si>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</si>
  <si>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</si>
  <si>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</si>
  <si>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</si>
  <si>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</si>
  <si>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</si>
  <si>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</si>
  <si>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</si>
  <si>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</si>
  <si>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</si>
  <si>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</si>
  <si>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</si>
  <si>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</si>
  <si>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</si>
  <si>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</si>
  <si>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</si>
  <si>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</si>
  <si>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</si>
  <si>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</si>
  <si>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</si>
  <si>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</si>
  <si>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</si>
  <si>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</si>
  <si>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</si>
  <si>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</si>
  <si>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</si>
  <si>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</si>
  <si>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</si>
  <si>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</si>
  <si>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</si>
  <si>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</si>
  <si>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</si>
  <si>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</si>
  <si>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</si>
  <si>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</si>
  <si>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</si>
  <si>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</si>
  <si>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</si>
  <si>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</si>
  <si>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</si>
  <si>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</si>
  <si>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</si>
  <si>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</si>
  <si>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</si>
  <si>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</si>
  <si>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</si>
  <si>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</si>
  <si>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</si>
  <si>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</si>
  <si>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</si>
  <si>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</si>
  <si>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</si>
  <si>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</si>
  <si>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</si>
  <si>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</si>
  <si>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</si>
  <si>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</si>
  <si>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</si>
  <si>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</si>
  <si>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</si>
  <si>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</si>
  <si>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</si>
  <si>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</si>
  <si>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</si>
  <si>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</si>
  <si>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</si>
  <si>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</si>
  <si>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</si>
  <si>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</si>
  <si>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</si>
  <si>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</si>
  <si>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</si>
  <si>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</si>
  <si>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</si>
  <si>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</si>
  <si>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</si>
  <si>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</si>
  <si>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</si>
  <si>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</si>
  <si>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</si>
  <si>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</si>
  <si>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</si>
  <si>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</si>
  <si>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</si>
  <si>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</si>
  <si>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</si>
  <si>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</si>
  <si>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</si>
  <si>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</si>
  <si>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</si>
  <si>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</si>
  <si>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</si>
  <si>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</si>
  <si>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</si>
  <si>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</si>
  <si>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</si>
  <si>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</si>
  <si>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</si>
  <si>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</si>
  <si>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</si>
  <si>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</si>
  <si>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</si>
  <si>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</si>
  <si>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</si>
  <si>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</si>
  <si>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</si>
  <si>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</si>
  <si>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</si>
  <si>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</si>
  <si>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</si>
  <si>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</si>
  <si>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</si>
  <si>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</si>
  <si>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</si>
  <si>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</si>
  <si>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</si>
  <si>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</si>
  <si>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</si>
  <si>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</si>
  <si>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</si>
  <si>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</si>
  <si>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</si>
  <si>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</si>
  <si>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</si>
  <si>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</si>
  <si>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</si>
  <si>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</si>
  <si>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</si>
  <si>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</si>
  <si>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</si>
  <si>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</si>
  <si>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</si>
  <si>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</si>
  <si>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</si>
  <si>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</si>
  <si>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</si>
  <si>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</si>
  <si>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</si>
  <si>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</si>
  <si>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</si>
  <si>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</si>
  <si>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</si>
  <si>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</si>
  <si>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</si>
  <si>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</si>
  <si>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</si>
  <si>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</si>
  <si>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</si>
  <si>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</si>
  <si>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</si>
  <si>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</si>
  <si>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</si>
  <si>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</si>
  <si>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</si>
  <si>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</si>
  <si>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</si>
  <si>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</si>
  <si>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</si>
  <si>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</si>
  <si>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</si>
  <si>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</si>
  <si>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</si>
  <si>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</si>
  <si>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</si>
  <si>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</si>
  <si>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</si>
  <si>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</si>
  <si>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</si>
  <si>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</si>
  <si>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</si>
  <si>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</si>
  <si>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</si>
  <si>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</si>
  <si>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</si>
  <si>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</si>
  <si>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</si>
  <si>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</si>
  <si>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</si>
  <si>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</si>
  <si>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</si>
  <si>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</si>
  <si>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</si>
  <si>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</si>
  <si>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</si>
  <si>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</si>
  <si>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</si>
  <si>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</si>
  <si>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</si>
  <si>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</si>
  <si>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</si>
  <si>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</si>
  <si>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</si>
  <si>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</si>
  <si>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</si>
  <si>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</si>
  <si>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</si>
  <si>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</si>
  <si>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</si>
  <si>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</si>
  <si>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</si>
  <si>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</si>
  <si>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</si>
  <si>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</si>
  <si>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</si>
  <si>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</si>
  <si>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</si>
  <si>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</si>
  <si>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</si>
  <si>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</si>
  <si>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</si>
  <si>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</si>
  <si>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</si>
  <si>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</si>
  <si>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</si>
  <si>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</si>
  <si>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</si>
  <si>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</si>
  <si>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</si>
  <si>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</si>
  <si>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</si>
  <si>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</si>
  <si>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</si>
  <si>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</si>
  <si>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</si>
  <si>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</si>
  <si>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</si>
  <si>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</si>
  <si>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</si>
  <si>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</si>
  <si>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</si>
  <si>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</si>
  <si>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</si>
  <si>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</si>
  <si>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</si>
  <si>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</si>
  <si>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</si>
  <si>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</si>
  <si>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</si>
  <si>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</si>
  <si>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</si>
  <si>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</si>
  <si>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</si>
  <si>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</si>
  <si>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</si>
  <si>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</si>
  <si>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</si>
  <si>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</si>
  <si>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</si>
  <si>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</si>
  <si>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</si>
  <si>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</si>
  <si>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</si>
  <si>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</si>
  <si>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</si>
  <si>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</si>
  <si>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</si>
  <si>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</si>
  <si>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</si>
  <si>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</si>
  <si>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</si>
  <si>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</si>
  <si>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</si>
  <si>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</si>
  <si>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</si>
  <si>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</si>
  <si>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</si>
  <si>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</si>
  <si>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</si>
  <si>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</si>
  <si>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</si>
  <si>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</si>
  <si>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</si>
  <si>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</si>
  <si>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</si>
  <si>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</si>
  <si>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</si>
  <si>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</si>
  <si>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</si>
  <si>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</si>
  <si>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</si>
  <si>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</si>
  <si>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</si>
  <si>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</si>
  <si>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</si>
  <si>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</si>
  <si>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</si>
  <si>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</si>
  <si>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</si>
  <si>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</si>
  <si>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</si>
  <si>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</si>
  <si>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</si>
  <si>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</si>
  <si>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</si>
  <si>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</si>
  <si>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</si>
  <si>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</si>
  <si>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</si>
  <si>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</si>
  <si>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</si>
  <si>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</si>
  <si>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</si>
  <si>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</si>
  <si>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</si>
  <si>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</si>
  <si>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</si>
  <si>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</si>
  <si>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</si>
  <si>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</si>
  <si>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</si>
  <si>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</si>
  <si>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</si>
  <si>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</si>
  <si>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</si>
  <si>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</si>
  <si>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</si>
  <si>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</si>
  <si>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</si>
  <si>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</si>
  <si>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</si>
  <si>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</si>
  <si>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</si>
  <si>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</si>
  <si>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</si>
  <si>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</si>
  <si>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</si>
  <si>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</si>
  <si>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</si>
  <si>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</si>
  <si>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</si>
  <si>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</si>
  <si>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</si>
  <si>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</si>
  <si>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</si>
  <si>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</si>
  <si>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</si>
  <si>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</si>
  <si>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</si>
  <si>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</si>
  <si>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</si>
  <si>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</si>
  <si>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</si>
  <si>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</si>
  <si>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</si>
  <si>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</si>
  <si>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</si>
  <si>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</si>
  <si>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</si>
  <si>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</si>
  <si>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</si>
  <si>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</si>
  <si>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</si>
  <si>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</si>
  <si>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</si>
  <si>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</si>
  <si>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</si>
  <si>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</si>
  <si>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</si>
  <si>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</si>
  <si>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</si>
  <si>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</si>
  <si>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</si>
  <si>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</si>
  <si>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</si>
  <si>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</si>
  <si>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</si>
  <si>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</si>
  <si>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</si>
  <si>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</si>
  <si>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</si>
  <si>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</si>
  <si>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</si>
  <si>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</si>
  <si>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</si>
  <si>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</si>
  <si>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</si>
  <si>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</si>
  <si>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</si>
  <si>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</si>
  <si>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</si>
  <si>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</si>
  <si>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</si>
  <si>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</si>
  <si>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</si>
  <si>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</si>
  <si>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</si>
  <si>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</si>
  <si>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</si>
  <si>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</si>
  <si>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</si>
  <si>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</si>
  <si>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</si>
  <si>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</si>
  <si>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</si>
  <si>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</si>
  <si>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</si>
  <si>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</si>
  <si>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</si>
  <si>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</si>
  <si>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</si>
  <si>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</si>
  <si>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</si>
  <si>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</si>
  <si>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</si>
  <si>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</si>
  <si>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</si>
  <si>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</si>
  <si>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</si>
  <si>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</si>
  <si>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</si>
  <si>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</si>
  <si>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</si>
  <si>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</si>
  <si>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</si>
  <si>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</si>
  <si>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</si>
  <si>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</si>
  <si>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</si>
  <si>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</si>
  <si>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</si>
  <si>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</si>
  <si>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</si>
  <si>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</si>
  <si>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</si>
  <si>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</si>
  <si>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</si>
  <si>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</si>
  <si>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</si>
  <si>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</si>
  <si>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</si>
  <si>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</si>
  <si>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</si>
  <si>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</si>
  <si>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</si>
  <si>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</si>
  <si>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</si>
  <si>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</si>
  <si>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</si>
  <si>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</si>
  <si>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</si>
  <si>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</si>
  <si>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</si>
  <si>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</si>
  <si>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</si>
  <si>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</si>
  <si>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</si>
  <si>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</si>
  <si>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</si>
  <si>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</si>
  <si>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</si>
  <si>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</si>
  <si>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</si>
  <si>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</si>
  <si>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</si>
  <si>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</si>
  <si>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</si>
  <si>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</si>
  <si>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</si>
  <si>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</si>
  <si>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</si>
  <si>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</si>
  <si>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</si>
  <si>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</si>
  <si>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</si>
  <si>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</si>
  <si>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</si>
  <si>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</si>
  <si>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</si>
  <si>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</si>
  <si>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</si>
  <si>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</si>
  <si>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</si>
  <si>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</si>
  <si>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</si>
  <si>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</si>
  <si>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</si>
  <si>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</si>
  <si>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</si>
  <si>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</si>
  <si>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</si>
  <si>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</si>
  <si>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</si>
  <si>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</si>
  <si>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</si>
  <si>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</si>
  <si>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</si>
  <si>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</si>
  <si>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</si>
  <si>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</si>
  <si>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</si>
  <si>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</si>
  <si>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</si>
  <si>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</si>
  <si>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</si>
  <si>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</si>
  <si>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</si>
  <si>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</si>
  <si>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</si>
  <si>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</si>
  <si>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</si>
  <si>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</si>
  <si>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</si>
  <si>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</si>
  <si>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</si>
  <si>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</si>
  <si>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</si>
  <si>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</si>
  <si>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</si>
  <si>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</si>
  <si>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</si>
  <si>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</si>
  <si>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</si>
  <si>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</si>
  <si>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</si>
  <si>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</si>
  <si>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</si>
  <si>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</si>
  <si>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</si>
  <si>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</si>
  <si>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</si>
  <si>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</si>
  <si>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</si>
  <si>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</si>
  <si>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</si>
  <si>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</si>
  <si>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</si>
  <si>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</si>
  <si>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</si>
  <si>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</si>
  <si>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</si>
  <si>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</si>
  <si>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</si>
  <si>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</si>
  <si>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</si>
  <si>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</si>
  <si>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</si>
  <si>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</si>
  <si>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</si>
  <si>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</si>
  <si>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</si>
  <si>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</si>
  <si>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</si>
  <si>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</si>
  <si>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</si>
  <si>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</si>
  <si>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</si>
  <si>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</si>
  <si>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</si>
  <si>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</si>
  <si>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</si>
  <si>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</si>
  <si>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</si>
  <si>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</si>
  <si>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</si>
  <si>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</si>
  <si>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</si>
  <si>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</si>
  <si>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</si>
  <si>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</si>
  <si>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</si>
  <si>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</si>
  <si>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</si>
  <si>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</si>
  <si>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</si>
  <si>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</si>
  <si>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</si>
  <si>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</si>
  <si>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</si>
  <si>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</si>
  <si>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</si>
  <si>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</si>
  <si>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</si>
  <si>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</si>
  <si>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</si>
  <si>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</si>
  <si>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</si>
  <si>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</si>
  <si>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</si>
  <si>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</si>
  <si>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</si>
  <si>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</si>
  <si>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</si>
  <si>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</si>
  <si>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</si>
  <si>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</si>
  <si>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</si>
  <si>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</si>
  <si>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</si>
  <si>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</si>
  <si>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</si>
  <si>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</si>
  <si>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</si>
  <si>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</si>
  <si>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</si>
  <si>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</si>
  <si>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</si>
  <si>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</si>
  <si>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</si>
  <si>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</si>
  <si>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</si>
  <si>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</si>
  <si>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</si>
  <si>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</si>
  <si>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</si>
  <si>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</si>
  <si>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</si>
  <si>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</si>
  <si>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</si>
  <si>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</si>
  <si>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</si>
  <si>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</si>
  <si>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</si>
  <si>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</si>
  <si>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</si>
  <si>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</si>
  <si>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</si>
  <si>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</si>
  <si>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</si>
  <si>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</si>
  <si>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</si>
  <si>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</si>
  <si>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</si>
  <si>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</si>
  <si>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</si>
  <si>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</si>
  <si>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</si>
  <si>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</si>
  <si>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</si>
  <si>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</si>
  <si>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</si>
  <si>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</si>
  <si>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</si>
  <si>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</si>
  <si>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</si>
  <si>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</si>
  <si>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</si>
  <si>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</si>
  <si>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</si>
  <si>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</si>
  <si>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</si>
  <si>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</si>
  <si>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</si>
  <si>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</si>
  <si>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</si>
  <si>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</si>
  <si>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</si>
  <si>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</si>
  <si>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</si>
  <si>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</si>
  <si>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</si>
  <si>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</si>
  <si>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</si>
  <si>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</si>
  <si>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</si>
  <si>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</si>
  <si>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</si>
  <si>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</si>
  <si>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</si>
  <si>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</si>
  <si>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</si>
  <si>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</si>
  <si>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</si>
  <si>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</si>
  <si>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</si>
  <si>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</si>
  <si>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</si>
  <si>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</si>
  <si>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</si>
  <si>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</si>
  <si>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</si>
  <si>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</si>
  <si>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</si>
  <si>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</si>
  <si>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</si>
  <si>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</si>
  <si>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</si>
  <si>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</si>
  <si>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</si>
  <si>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</si>
  <si>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</si>
  <si>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</si>
  <si>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</si>
  <si>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</si>
  <si>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</si>
  <si>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</si>
  <si>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</si>
  <si>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</si>
  <si>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</si>
  <si>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</si>
  <si>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</si>
  <si>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</si>
  <si>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</si>
  <si>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</si>
  <si>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</si>
  <si>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</si>
  <si>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</si>
  <si>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</si>
  <si>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</si>
  <si>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</si>
  <si>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</si>
  <si>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</si>
  <si>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</si>
  <si>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</si>
  <si>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</si>
  <si>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</si>
  <si>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</si>
  <si>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</si>
  <si>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</si>
  <si>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</si>
  <si>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</si>
  <si>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</si>
  <si>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</si>
  <si>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</si>
  <si>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</si>
  <si>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</si>
  <si>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</si>
  <si>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</si>
  <si>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</si>
  <si>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</si>
  <si>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</si>
  <si>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</si>
  <si>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</si>
  <si>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</si>
  <si>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</si>
  <si>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</si>
  <si>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</si>
  <si>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</si>
  <si>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</si>
  <si>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</si>
  <si>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</si>
  <si>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</si>
  <si>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</si>
  <si>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</si>
  <si>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</si>
  <si>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</si>
  <si>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</si>
  <si>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</si>
  <si>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</si>
  <si>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</si>
  <si>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</si>
  <si>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</si>
  <si>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</si>
  <si>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</si>
  <si>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</si>
  <si>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</si>
  <si>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</si>
  <si>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</si>
  <si>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</si>
  <si>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</si>
  <si>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</si>
  <si>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</si>
  <si>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</si>
  <si>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</si>
  <si>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</si>
  <si>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</si>
  <si>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</si>
  <si>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</si>
  <si>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</si>
  <si>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</si>
  <si>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</si>
  <si>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</si>
  <si>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</si>
  <si>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</si>
  <si>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</si>
  <si>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</si>
  <si>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</si>
  <si>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</si>
  <si>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</si>
  <si>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</si>
  <si>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</si>
  <si>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</si>
  <si>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</si>
  <si>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</si>
  <si>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</si>
  <si>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</si>
  <si>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</si>
  <si>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</si>
  <si>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</si>
  <si>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</si>
  <si>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</si>
  <si>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</si>
  <si>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</si>
  <si>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</si>
  <si>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</si>
  <si>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</si>
  <si>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</si>
  <si>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</si>
  <si>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</si>
  <si>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</si>
  <si>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</si>
  <si>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</si>
  <si>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</si>
  <si>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</si>
  <si>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</si>
  <si>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</si>
  <si>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</si>
  <si>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</si>
  <si>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</si>
  <si>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</si>
  <si>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</si>
  <si>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</si>
  <si>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</si>
  <si>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</si>
  <si>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</si>
  <si>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</si>
  <si>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</si>
  <si>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</si>
  <si>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</si>
  <si>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</si>
  <si>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</si>
  <si>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</si>
  <si>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</si>
  <si>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</si>
  <si>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</si>
  <si>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</si>
  <si>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</si>
  <si>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</si>
  <si>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</si>
  <si>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</si>
  <si>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</si>
  <si>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</si>
  <si>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</si>
  <si>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</si>
  <si>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</si>
  <si>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</si>
  <si>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</si>
  <si>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</si>
  <si>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</si>
  <si>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</si>
  <si>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</si>
  <si>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</si>
  <si>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</si>
  <si>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</si>
  <si>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</si>
  <si>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</si>
  <si>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</si>
  <si>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</si>
  <si>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</si>
  <si>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</si>
  <si>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</si>
  <si>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</si>
  <si>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</si>
  <si>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</si>
  <si>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</si>
  <si>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</si>
  <si>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</si>
  <si>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</si>
  <si>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</si>
  <si>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</si>
  <si>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</si>
  <si>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</si>
  <si>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</si>
  <si>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</si>
  <si>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</si>
  <si>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</si>
  <si>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</si>
  <si>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</si>
  <si>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</si>
  <si>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</si>
  <si>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</si>
  <si>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</si>
  <si>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</si>
  <si>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</si>
  <si>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</si>
  <si>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</si>
  <si>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</si>
  <si>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</si>
  <si>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</si>
  <si>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</si>
  <si>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</si>
  <si>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</si>
  <si>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</si>
  <si>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</si>
  <si>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</si>
  <si>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</si>
  <si>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</si>
  <si>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</si>
  <si>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</si>
  <si>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</si>
  <si>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</si>
  <si>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</si>
  <si>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</si>
  <si>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</si>
  <si>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</si>
  <si>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</si>
  <si>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</si>
  <si>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</si>
  <si>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</si>
  <si>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</si>
  <si>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</si>
  <si>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</si>
  <si>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</si>
  <si>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</si>
  <si>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</si>
  <si>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</si>
  <si>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</si>
  <si>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</si>
  <si>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</si>
  <si>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</si>
  <si>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</si>
  <si>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</si>
  <si>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</si>
  <si>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</si>
  <si>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</si>
  <si>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</si>
  <si>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</si>
  <si>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</si>
  <si>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</si>
  <si>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</si>
  <si>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</si>
  <si>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</si>
  <si>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</si>
  <si>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</si>
  <si>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</si>
  <si>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</si>
  <si>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</si>
  <si>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</si>
  <si>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</si>
  <si>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</si>
  <si>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</si>
  <si>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</si>
  <si>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</si>
  <si>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</si>
  <si>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</si>
  <si>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</si>
  <si>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</si>
  <si>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</si>
  <si>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</si>
  <si>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</si>
  <si>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</si>
  <si>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</si>
  <si>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</si>
  <si>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</si>
  <si>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</si>
  <si>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</si>
  <si>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</si>
  <si>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</si>
  <si>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</si>
  <si>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</si>
  <si>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</si>
  <si>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</si>
  <si>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</si>
  <si>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</si>
  <si>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</si>
  <si>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</si>
  <si>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</si>
  <si>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</si>
  <si>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</si>
  <si>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</si>
  <si>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</si>
  <si>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</si>
  <si>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</si>
  <si>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</si>
  <si>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</si>
  <si>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</si>
  <si>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</si>
  <si>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</si>
  <si>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</si>
  <si>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</si>
  <si>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</si>
  <si>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</si>
  <si>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</si>
  <si>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</si>
  <si>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</si>
  <si>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</si>
  <si>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</si>
  <si>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</si>
  <si>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</si>
  <si>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</si>
  <si>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</si>
  <si>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</si>
  <si>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</si>
  <si>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</si>
  <si>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</si>
  <si>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</si>
  <si>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</si>
  <si>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</si>
  <si>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</si>
  <si>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</si>
  <si>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</si>
  <si>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</si>
  <si>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</si>
  <si>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</si>
  <si>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</si>
  <si>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</si>
  <si>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</si>
  <si>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</si>
  <si>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</si>
  <si>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</si>
  <si>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</si>
  <si>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</si>
  <si>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</si>
  <si>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</si>
  <si>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</si>
  <si>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</si>
  <si>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</si>
  <si>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</si>
  <si>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</si>
  <si>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</si>
  <si>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</si>
  <si>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</si>
  <si>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</si>
  <si>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</si>
  <si>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</si>
  <si>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</si>
  <si>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</si>
  <si>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</si>
  <si>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</si>
  <si>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</si>
  <si>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</si>
  <si>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</si>
  <si>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</si>
  <si>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</si>
  <si>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</si>
  <si>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</si>
  <si>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</si>
  <si>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</si>
  <si>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</si>
  <si>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</si>
  <si>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</si>
  <si>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</si>
  <si>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</si>
  <si>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</si>
  <si>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</si>
  <si>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</si>
  <si>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</si>
  <si>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</si>
  <si>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</si>
  <si>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</si>
  <si>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</si>
  <si>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</si>
  <si>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</si>
  <si>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</si>
  <si>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</si>
  <si>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</si>
  <si>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</si>
  <si>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</si>
  <si>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</si>
  <si>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</si>
  <si>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</si>
  <si>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</si>
  <si>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</si>
  <si>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</si>
  <si>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</si>
  <si>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</si>
  <si>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</si>
  <si>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</si>
  <si>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</si>
  <si>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</si>
  <si>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</si>
  <si>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</si>
  <si>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</si>
  <si>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</si>
  <si>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</si>
  <si>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</si>
  <si>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</si>
  <si>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</si>
  <si>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</si>
  <si>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</si>
  <si>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</si>
  <si>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</si>
  <si>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</si>
  <si>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</si>
  <si>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</si>
  <si>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</si>
  <si>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</si>
  <si>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</si>
  <si>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</si>
  <si>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</si>
  <si>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</si>
  <si>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</si>
  <si>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</si>
  <si>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</si>
  <si>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</si>
  <si>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</si>
  <si>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</si>
  <si>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</si>
  <si>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</si>
  <si>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</si>
  <si>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</si>
  <si>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</si>
  <si>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</si>
  <si>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</si>
  <si>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</si>
  <si>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</si>
  <si>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</si>
  <si>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</si>
  <si>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</si>
  <si>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</si>
  <si>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</si>
  <si>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</si>
  <si>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</si>
  <si>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</si>
  <si>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</si>
  <si>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</si>
  <si>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</si>
  <si>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</si>
  <si>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</si>
  <si>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</si>
  <si>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</si>
  <si>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</si>
  <si>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</si>
  <si>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</si>
  <si>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</si>
  <si>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</si>
  <si>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</si>
  <si>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</si>
  <si>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</si>
  <si>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</si>
  <si>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</si>
  <si>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</si>
  <si>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</si>
  <si>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</si>
  <si>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</si>
  <si>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</si>
  <si>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</si>
  <si>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</si>
  <si>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</si>
  <si>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</si>
  <si>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</si>
  <si>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</si>
  <si>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</si>
  <si>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</si>
  <si>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</si>
  <si>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</si>
  <si>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</si>
  <si>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</si>
  <si>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</si>
  <si>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</si>
  <si>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</si>
  <si>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</si>
  <si>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</si>
  <si>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</si>
  <si>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</si>
  <si>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</si>
  <si>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</si>
  <si>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</si>
  <si>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</si>
  <si>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</si>
  <si>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</si>
  <si>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</si>
  <si>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</si>
  <si>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</si>
  <si>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</si>
  <si>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</si>
  <si>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</si>
  <si>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</si>
  <si>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</si>
  <si>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</si>
  <si>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</si>
  <si>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</si>
  <si>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</si>
  <si>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</si>
  <si>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</si>
  <si>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</si>
  <si>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</si>
  <si>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</si>
  <si>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</si>
  <si>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</si>
  <si>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</si>
  <si>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</si>
  <si>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</si>
  <si>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</si>
  <si>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</si>
  <si>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</si>
  <si>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</si>
  <si>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</si>
  <si>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</si>
  <si>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</si>
  <si>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</si>
  <si>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</si>
  <si>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</si>
  <si>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</si>
  <si>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</si>
  <si>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</si>
  <si>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</si>
  <si>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</si>
  <si>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</si>
  <si>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</si>
  <si>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</si>
  <si>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</si>
  <si>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</si>
  <si>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</si>
  <si>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</si>
  <si>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</si>
  <si>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</si>
  <si>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</si>
  <si>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</si>
  <si>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</si>
  <si>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</si>
  <si>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</si>
  <si>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</si>
  <si>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</si>
  <si>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</si>
  <si>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</si>
  <si>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</si>
  <si>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</si>
  <si>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</si>
  <si>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</si>
  <si>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</si>
  <si>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</si>
  <si>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</si>
  <si>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</si>
  <si>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</si>
  <si>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</si>
  <si>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</si>
  <si>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</si>
  <si>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</si>
  <si>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</si>
  <si>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</si>
  <si>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</si>
  <si>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</si>
  <si>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</si>
  <si>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</si>
  <si>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</si>
  <si>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</si>
  <si>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</si>
  <si>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</si>
  <si>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</si>
  <si>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</si>
  <si>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</si>
  <si>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</si>
  <si>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</si>
  <si>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</si>
  <si>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</si>
  <si>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</si>
  <si>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</si>
  <si>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</si>
  <si>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</si>
  <si>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</si>
  <si>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</si>
  <si>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</si>
  <si>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</si>
  <si>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</si>
  <si>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</si>
  <si>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</si>
  <si>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</si>
  <si>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</si>
  <si>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</si>
  <si>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</si>
  <si>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</si>
  <si>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</si>
  <si>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</si>
  <si>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</si>
  <si>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</si>
  <si>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</si>
  <si>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</si>
  <si>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</si>
  <si>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</si>
  <si>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</si>
  <si>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</si>
  <si>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</si>
  <si>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</si>
  <si>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</si>
  <si>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</si>
  <si>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</si>
  <si>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</si>
  <si>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</si>
  <si>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</si>
  <si>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</si>
  <si>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</si>
  <si>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</si>
  <si>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</si>
  <si>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</si>
  <si>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</si>
  <si>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</si>
  <si>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</si>
  <si>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</si>
  <si>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</si>
  <si>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</si>
  <si>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</si>
  <si>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</si>
  <si>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</si>
  <si>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</si>
  <si>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</si>
  <si>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</si>
  <si>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</si>
  <si>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</si>
  <si>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</si>
  <si>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</si>
  <si>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</si>
  <si>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</si>
  <si>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</si>
  <si>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</si>
  <si>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</si>
  <si>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</si>
  <si>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</si>
  <si>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</si>
  <si>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</si>
  <si>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</si>
  <si>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</si>
  <si>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</si>
  <si>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</si>
  <si>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</si>
  <si>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</si>
  <si>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</si>
  <si>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</si>
  <si>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</si>
  <si>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</si>
  <si>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</si>
  <si>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</si>
  <si>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</si>
  <si>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</si>
  <si>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</si>
  <si>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</si>
  <si>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</si>
  <si>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</si>
  <si>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</si>
  <si>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</si>
  <si>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</si>
  <si>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</si>
  <si>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</si>
  <si>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</si>
  <si>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</si>
  <si>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</si>
  <si>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</si>
  <si>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</si>
  <si>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</si>
  <si>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</si>
  <si>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</si>
  <si>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</si>
  <si>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</si>
  <si>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</si>
  <si>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</si>
  <si>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</si>
  <si>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</si>
  <si>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</si>
  <si>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</si>
  <si>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</si>
  <si>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</si>
  <si>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</si>
  <si>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</si>
  <si>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</si>
  <si>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</si>
  <si>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</si>
  <si>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</si>
  <si>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</si>
  <si>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</si>
  <si>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</si>
  <si>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</si>
  <si>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</si>
  <si>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</si>
  <si>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</si>
  <si>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</si>
  <si>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</si>
  <si>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</si>
  <si>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</si>
  <si>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</si>
  <si>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</si>
  <si>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</si>
  <si>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</si>
  <si>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</si>
  <si>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</si>
  <si>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</si>
  <si>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</si>
  <si>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</si>
  <si>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</si>
  <si>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</si>
  <si>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</si>
  <si>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</si>
  <si>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</si>
  <si>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</si>
  <si>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</si>
  <si>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</si>
  <si>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</si>
  <si>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</si>
  <si>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</si>
  <si>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</si>
  <si>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</si>
  <si>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</si>
  <si>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</si>
  <si>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</si>
  <si>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</si>
  <si>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</si>
  <si>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</si>
  <si>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</si>
  <si>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</si>
  <si>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</si>
  <si>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</si>
  <si>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</si>
  <si>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</si>
  <si>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</si>
  <si>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</si>
  <si>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</si>
  <si>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</si>
  <si>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</si>
  <si>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</si>
  <si>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</si>
  <si>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</si>
  <si>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</si>
  <si>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</si>
  <si>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</si>
  <si>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</si>
  <si>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</si>
  <si>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</si>
  <si>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</si>
  <si>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</si>
  <si>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</si>
  <si>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</si>
  <si>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</si>
  <si>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</si>
  <si>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</si>
  <si>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</si>
  <si>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</si>
  <si>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</si>
  <si>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</si>
  <si>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</si>
  <si>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</si>
  <si>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</si>
  <si>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</si>
  <si>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</si>
  <si>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</si>
  <si>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</si>
  <si>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</si>
  <si>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</si>
  <si>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</si>
  <si>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</si>
  <si>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</si>
  <si>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</si>
  <si>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</si>
  <si>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</si>
  <si>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</si>
  <si>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</si>
  <si>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</si>
  <si>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</si>
  <si>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</si>
  <si>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</si>
  <si>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</si>
  <si>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</si>
  <si>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</si>
  <si>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</si>
  <si>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</si>
  <si>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</si>
  <si>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</si>
  <si>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</si>
  <si>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</si>
  <si>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</si>
  <si>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</si>
  <si>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</si>
  <si>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</si>
  <si>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</si>
  <si>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</si>
  <si>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</si>
  <si>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</si>
  <si>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</si>
  <si>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</si>
  <si>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</si>
  <si>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</si>
  <si>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</si>
  <si>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</si>
  <si>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</si>
  <si>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</si>
  <si>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</si>
  <si>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</si>
  <si>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</si>
  <si>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</si>
  <si>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</si>
  <si>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</si>
  <si>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</si>
  <si>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</si>
  <si>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</si>
  <si>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</si>
  <si>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</si>
  <si>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</si>
  <si>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</si>
  <si>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</si>
  <si>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</si>
  <si>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</si>
  <si>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</si>
  <si>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</si>
  <si>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</si>
  <si>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</si>
  <si>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</si>
  <si>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</si>
  <si>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</si>
  <si>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</si>
  <si>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</si>
  <si>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</si>
  <si>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</si>
  <si>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</si>
  <si>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</si>
  <si>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</si>
  <si>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</si>
  <si>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</si>
  <si>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</si>
  <si>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</si>
  <si>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</si>
  <si>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</si>
  <si>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</si>
  <si>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</si>
  <si>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</si>
  <si>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</si>
  <si>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</si>
  <si>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</si>
  <si>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</si>
  <si>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</si>
  <si>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</si>
  <si>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</si>
  <si>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</si>
  <si>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</si>
  <si>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</si>
  <si>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</si>
  <si>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</si>
  <si>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</si>
  <si>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</si>
  <si>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</si>
  <si>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</si>
  <si>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</si>
  <si>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</si>
  <si>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</si>
  <si>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</si>
  <si>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</si>
  <si>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</si>
  <si>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</si>
  <si>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</si>
  <si>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</si>
  <si>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</si>
  <si>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</si>
  <si>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</si>
  <si>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</si>
  <si>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</si>
  <si>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</si>
  <si>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</si>
  <si>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</si>
  <si>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</si>
  <si>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</si>
  <si>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</si>
  <si>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</si>
  <si>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</si>
  <si>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</si>
  <si>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</si>
  <si>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</si>
  <si>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</si>
  <si>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</si>
  <si>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</si>
  <si>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</si>
  <si>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</si>
  <si>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</si>
  <si>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</si>
  <si>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</si>
  <si>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</si>
  <si>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</si>
  <si>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</si>
  <si>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</si>
  <si>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</si>
  <si>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</si>
  <si>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</si>
  <si>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</si>
  <si>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</si>
  <si>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</si>
  <si>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</si>
  <si>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</si>
  <si>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</si>
  <si>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</si>
  <si>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</si>
  <si>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</si>
  <si>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</si>
  <si>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</si>
  <si>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</si>
  <si>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</si>
  <si>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</si>
  <si>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</si>
  <si>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</si>
  <si>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</si>
  <si>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</si>
  <si>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</si>
  <si>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</si>
  <si>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</si>
  <si>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</si>
  <si>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</si>
  <si>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</si>
  <si>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</si>
  <si>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</si>
  <si>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</si>
  <si>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</si>
  <si>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</si>
  <si>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</si>
  <si>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</si>
  <si>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</si>
  <si>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</si>
  <si>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</si>
  <si>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</si>
  <si>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</si>
  <si>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</si>
  <si>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</si>
  <si>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</si>
  <si>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</si>
  <si>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</si>
  <si>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</si>
  <si>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</si>
  <si>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</si>
  <si>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</si>
  <si>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</si>
  <si>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</si>
  <si>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</si>
  <si>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</si>
  <si>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</si>
  <si>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</si>
  <si>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</si>
  <si>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</si>
  <si>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</si>
  <si>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</si>
  <si>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</si>
  <si>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</si>
  <si>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</si>
  <si>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</si>
  <si>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</si>
  <si>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</si>
  <si>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</si>
  <si>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</si>
  <si>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</si>
  <si>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</si>
  <si>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</si>
  <si>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</si>
  <si>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</si>
  <si>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</si>
  <si>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</si>
  <si>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</si>
  <si>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</si>
  <si>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</si>
  <si>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</si>
  <si>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</si>
  <si>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</si>
  <si>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</si>
  <si>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</si>
  <si>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</si>
  <si>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</si>
  <si>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</si>
  <si>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</si>
  <si>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</si>
  <si>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</si>
  <si>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</si>
  <si>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</si>
  <si>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</si>
  <si>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</si>
  <si>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</si>
  <si>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</si>
  <si>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</si>
  <si>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</si>
  <si>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</si>
  <si>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</si>
  <si>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</si>
  <si>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</si>
  <si>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</si>
  <si>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</si>
  <si>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</si>
  <si>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</si>
  <si>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</si>
  <si>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</si>
  <si>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</si>
  <si>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</si>
  <si>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</si>
  <si>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</si>
  <si>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</si>
  <si>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</si>
  <si>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</si>
  <si>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</si>
  <si>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</si>
  <si>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</si>
  <si>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</si>
  <si>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</si>
  <si>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</si>
  <si>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</si>
  <si>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</si>
  <si>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</si>
  <si>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</si>
  <si>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</si>
  <si>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</si>
  <si>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</si>
  <si>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</si>
  <si>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</si>
  <si>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</si>
  <si>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</si>
  <si>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</si>
  <si>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</si>
  <si>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</si>
  <si>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</si>
  <si>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</si>
  <si>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</si>
  <si>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</si>
  <si>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</si>
  <si>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</si>
  <si>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</si>
  <si>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</si>
  <si>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</si>
  <si>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</si>
  <si>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</si>
  <si>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</si>
  <si>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</si>
  <si>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</si>
  <si>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</si>
  <si>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</si>
  <si>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</si>
  <si>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</si>
  <si>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</si>
  <si>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</si>
  <si>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</si>
  <si>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</si>
  <si>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</si>
  <si>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</si>
  <si>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</si>
  <si>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</si>
  <si>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</si>
  <si>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</si>
  <si>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</si>
  <si>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</si>
  <si>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</si>
  <si>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</si>
  <si>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</si>
  <si>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</si>
  <si>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</si>
  <si>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</si>
  <si>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</si>
  <si>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</si>
  <si>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</si>
  <si>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</si>
  <si>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</si>
  <si>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</si>
  <si>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</si>
  <si>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</si>
  <si>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</si>
  <si>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</si>
  <si>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</si>
  <si>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</si>
  <si>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</si>
  <si>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</si>
  <si>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</si>
  <si>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</si>
  <si>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</si>
  <si>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</si>
  <si>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</si>
  <si>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</si>
  <si>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</si>
  <si>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</si>
  <si>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</si>
  <si>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</si>
  <si>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</si>
  <si>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</si>
  <si>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</si>
  <si>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</si>
  <si>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</si>
  <si>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</si>
  <si>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</si>
  <si>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</si>
  <si>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</si>
  <si>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</si>
  <si>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</si>
  <si>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</si>
  <si>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</si>
  <si>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</si>
  <si>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</si>
  <si>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</si>
  <si>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</si>
  <si>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</si>
  <si>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</si>
  <si>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</si>
  <si>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</si>
  <si>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</si>
  <si>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</si>
  <si>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</si>
  <si>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</si>
  <si>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</si>
  <si>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</si>
  <si>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</si>
  <si>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</si>
  <si>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</si>
  <si>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</si>
  <si>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</si>
  <si>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</si>
  <si>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</si>
  <si>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</si>
  <si>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</si>
  <si>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</si>
  <si>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</si>
  <si>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</si>
  <si>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</si>
  <si>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</si>
  <si>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</si>
  <si>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</si>
  <si>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</si>
  <si>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</si>
  <si>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</si>
  <si>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</si>
  <si>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</si>
  <si>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</si>
  <si>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</si>
  <si>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</si>
  <si>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</si>
  <si>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</si>
  <si>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</si>
  <si>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</si>
  <si>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</si>
  <si>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</si>
  <si>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</si>
  <si>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</si>
  <si>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</si>
  <si>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</si>
  <si>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</si>
  <si>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</si>
  <si>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</si>
  <si>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</si>
  <si>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</si>
  <si>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</si>
  <si>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</si>
  <si>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</si>
  <si>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</si>
  <si>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</si>
  <si>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</si>
  <si>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</si>
  <si>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</si>
  <si>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</si>
  <si>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</si>
  <si>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</si>
  <si>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</si>
  <si>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</si>
  <si>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</si>
  <si>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</si>
  <si>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</si>
  <si>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</si>
  <si>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</si>
  <si>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</si>
  <si>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</si>
  <si>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</si>
  <si>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</si>
  <si>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</si>
  <si>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</si>
  <si>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</si>
  <si>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</si>
  <si>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</si>
  <si>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</si>
  <si>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</si>
  <si>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</si>
  <si>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</si>
  <si>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</si>
  <si>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</si>
  <si>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</si>
  <si>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</si>
  <si>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</si>
  <si>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</si>
  <si>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</si>
  <si>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</si>
  <si>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</si>
  <si>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</si>
  <si>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</si>
  <si>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</si>
  <si>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</si>
  <si>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</si>
  <si>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</si>
  <si>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</si>
  <si>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</si>
  <si>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</si>
  <si>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</si>
  <si>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</si>
  <si>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</si>
  <si>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</si>
  <si>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</si>
  <si>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</si>
  <si>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</si>
  <si>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</si>
  <si>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</si>
  <si>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</si>
  <si>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</si>
  <si>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</si>
  <si>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</si>
  <si>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</si>
  <si>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</si>
  <si>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</si>
  <si>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</si>
  <si>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</si>
  <si>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</si>
  <si>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</si>
  <si>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</si>
  <si>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</si>
  <si>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</si>
  <si>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</si>
  <si>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</si>
  <si>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</si>
  <si>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</si>
  <si>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</si>
  <si>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</si>
  <si>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</si>
  <si>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</si>
  <si>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</si>
  <si>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</si>
  <si>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</si>
  <si>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</si>
  <si>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</si>
  <si>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</si>
  <si>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</si>
  <si>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</si>
  <si>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</si>
  <si>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</si>
  <si>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</si>
  <si>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</si>
  <si>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</si>
  <si>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</si>
  <si>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</si>
  <si>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</si>
  <si>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</si>
  <si>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</si>
  <si>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</si>
  <si>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</si>
  <si>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</si>
  <si>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</si>
  <si>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</si>
  <si>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</si>
  <si>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</si>
  <si>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</si>
  <si>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</si>
  <si>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</si>
  <si>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</si>
  <si>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</si>
  <si>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</si>
  <si>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</si>
  <si>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</si>
  <si>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</si>
  <si>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</si>
  <si>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</si>
  <si>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</si>
  <si>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</si>
  <si>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</si>
  <si>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</si>
  <si>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</si>
  <si>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</si>
  <si>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</si>
  <si>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</si>
  <si>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</si>
  <si>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</si>
  <si>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</si>
  <si>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</si>
  <si>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</si>
  <si>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</si>
  <si>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</si>
  <si>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</si>
  <si>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</si>
  <si>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</si>
  <si>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</si>
  <si>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</si>
  <si>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</si>
  <si>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</si>
  <si>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</si>
  <si>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</si>
  <si>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</si>
  <si>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</si>
  <si>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</si>
  <si>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</si>
  <si>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</si>
  <si>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</si>
  <si>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</si>
  <si>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</si>
  <si>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</si>
  <si>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</si>
  <si>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</si>
  <si>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</si>
  <si>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</si>
  <si>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</si>
  <si>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</si>
  <si>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</si>
  <si>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</si>
  <si>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</si>
  <si>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</si>
  <si>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</si>
  <si>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</si>
  <si>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</si>
  <si>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</si>
  <si>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</si>
  <si>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</si>
  <si>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</si>
  <si>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</si>
  <si>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</si>
  <si>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</si>
  <si>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</si>
  <si>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</si>
  <si>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</si>
  <si>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</si>
  <si>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</si>
  <si>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</si>
  <si>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</si>
  <si>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</si>
  <si>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</si>
  <si>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</si>
  <si>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</si>
  <si>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</si>
  <si>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</si>
  <si>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</si>
  <si>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</si>
  <si>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</si>
  <si>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</si>
  <si>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</si>
  <si>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</si>
  <si>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</si>
  <si>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</si>
  <si>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</si>
  <si>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</si>
  <si>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</si>
  <si>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</si>
  <si>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</si>
  <si>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</si>
  <si>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</si>
  <si>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</si>
  <si>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</si>
  <si>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</si>
  <si>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</si>
  <si>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</si>
  <si>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</si>
  <si>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</si>
  <si>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</si>
  <si>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</si>
  <si>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</si>
  <si>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</si>
  <si>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</si>
  <si>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</si>
  <si>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</si>
  <si>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</si>
  <si>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</si>
  <si>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</si>
  <si>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</si>
  <si>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</si>
  <si>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</si>
  <si>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</si>
  <si>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</si>
  <si>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</si>
  <si>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</si>
  <si>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</si>
  <si>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</si>
  <si>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</si>
  <si>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</si>
  <si>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</si>
  <si>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</si>
  <si>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</si>
  <si>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</si>
  <si>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</si>
  <si>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</si>
  <si>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</si>
  <si>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</si>
  <si>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</si>
  <si>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</si>
  <si>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</si>
  <si>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</si>
  <si>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</si>
  <si>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</si>
  <si>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</si>
  <si>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</si>
  <si>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</si>
  <si>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</si>
  <si>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</si>
  <si>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</si>
  <si>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</si>
  <si>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</si>
  <si>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</si>
  <si>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</si>
  <si>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</si>
  <si>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</si>
  <si>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</si>
  <si>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</si>
  <si>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</si>
  <si>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</si>
  <si>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</si>
  <si>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</si>
  <si>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</si>
  <si>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</si>
  <si>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</si>
  <si>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</si>
  <si>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</si>
  <si>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</si>
  <si>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</si>
  <si>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</si>
  <si>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</si>
  <si>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</si>
  <si>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</si>
  <si>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</si>
  <si>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</si>
  <si>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</si>
  <si>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</si>
  <si>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</si>
  <si>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</si>
  <si>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</si>
  <si>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</si>
  <si>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</si>
  <si>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</si>
  <si>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</si>
  <si>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</si>
  <si>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</si>
  <si>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</si>
  <si>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</si>
  <si>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</si>
  <si>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</si>
  <si>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</si>
  <si>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</si>
  <si>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</si>
  <si>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</si>
  <si>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</si>
  <si>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</si>
  <si>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</si>
  <si>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</si>
  <si>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</si>
  <si>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</si>
  <si>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</si>
  <si>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</si>
  <si>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</si>
  <si>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</si>
  <si>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</si>
  <si>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</si>
  <si>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</si>
  <si>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</si>
  <si>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</si>
  <si>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</si>
  <si>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</si>
  <si>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</si>
  <si>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</si>
  <si>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</si>
  <si>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</si>
  <si>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</si>
  <si>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</si>
  <si>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</si>
  <si>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</si>
  <si>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</si>
  <si>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</si>
  <si>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</si>
  <si>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</si>
  <si>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</si>
  <si>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</si>
  <si>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</si>
  <si>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</si>
  <si>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</si>
  <si>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</si>
  <si>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</si>
  <si>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</si>
  <si>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</si>
  <si>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</si>
  <si>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</si>
  <si>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</si>
  <si>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</si>
  <si>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</si>
  <si>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</si>
  <si>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</si>
  <si>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</si>
  <si>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</si>
  <si>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</si>
  <si>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</si>
  <si>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</si>
  <si>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</si>
  <si>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</si>
  <si>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</si>
  <si>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</si>
  <si>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</si>
  <si>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</si>
  <si>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</si>
  <si>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</si>
  <si>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</si>
  <si>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</si>
  <si>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</si>
  <si>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</si>
  <si>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</si>
  <si>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</si>
  <si>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</si>
  <si>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</si>
  <si>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</si>
  <si>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</si>
  <si>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</si>
  <si>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</si>
  <si>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</si>
  <si>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</si>
  <si>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</si>
  <si>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</si>
  <si>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</si>
  <si>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</si>
  <si>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</si>
  <si>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</si>
  <si>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</si>
  <si>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</si>
  <si>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</si>
  <si>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</si>
  <si>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</si>
  <si>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</si>
  <si>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</si>
  <si>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</si>
  <si>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</si>
  <si>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</si>
  <si>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</si>
  <si>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</si>
  <si>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</si>
  <si>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</si>
  <si>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</si>
  <si>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</si>
  <si>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</si>
  <si>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</si>
  <si>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</si>
  <si>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</si>
  <si>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</si>
  <si>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</si>
  <si>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</si>
  <si>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</si>
  <si>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</si>
  <si>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</si>
  <si>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</si>
  <si>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</si>
  <si>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</si>
  <si>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</si>
  <si>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</si>
  <si>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</si>
  <si>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</si>
  <si>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</si>
  <si>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</si>
  <si>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</si>
  <si>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</si>
  <si>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</si>
  <si>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</si>
  <si>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</si>
  <si>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</si>
  <si>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</si>
  <si>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</si>
  <si>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</si>
  <si>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</si>
  <si>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</si>
  <si>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</si>
  <si>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</si>
  <si>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</si>
  <si>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</si>
  <si>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</si>
  <si>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</si>
  <si>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</si>
  <si>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</si>
  <si>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</si>
  <si>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</si>
  <si>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</si>
  <si>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</si>
  <si>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</si>
  <si>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</si>
  <si>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</si>
  <si>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</si>
  <si>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</si>
  <si>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</si>
  <si>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</si>
  <si>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</si>
  <si>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</si>
  <si>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</si>
  <si>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</si>
  <si>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</si>
  <si>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</si>
  <si>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</si>
  <si>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</si>
  <si>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</si>
  <si>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</si>
  <si>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</si>
  <si>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</si>
  <si>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</si>
  <si>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</si>
  <si>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</si>
  <si>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</si>
  <si>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</si>
  <si>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</si>
  <si>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</si>
  <si>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</si>
  <si>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</si>
  <si>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</si>
  <si>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</si>
  <si>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</si>
  <si>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</si>
  <si>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</si>
  <si>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</si>
  <si>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</si>
  <si>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</si>
  <si>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</si>
  <si>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</si>
  <si>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</si>
  <si>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</si>
  <si>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</si>
  <si>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</si>
  <si>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</si>
  <si>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</si>
  <si>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</si>
  <si>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</si>
  <si>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</si>
  <si>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</si>
  <si>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</si>
  <si>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</si>
  <si>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</si>
  <si>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</si>
  <si>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</si>
  <si>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</si>
  <si>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</si>
  <si>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</si>
  <si>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</si>
  <si>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</si>
  <si>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</si>
  <si>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</si>
  <si>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</si>
  <si>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</si>
  <si>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</si>
  <si>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</si>
  <si>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</si>
  <si>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</si>
  <si>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</si>
  <si>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</si>
  <si>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</si>
  <si>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</si>
  <si>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</si>
  <si>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</si>
  <si>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</si>
  <si>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</si>
  <si>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</si>
  <si>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</si>
  <si>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</si>
  <si>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</si>
  <si>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</si>
  <si>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</si>
  <si>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</si>
  <si>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</si>
  <si>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</si>
  <si>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</si>
  <si>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</si>
  <si>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</si>
  <si>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</si>
  <si>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</si>
  <si>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</si>
  <si>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</si>
  <si>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</si>
  <si>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</si>
  <si>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</si>
  <si>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</si>
  <si>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</si>
  <si>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</si>
  <si>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</si>
  <si>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</si>
  <si>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</si>
  <si>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</si>
  <si>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</si>
  <si>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</si>
  <si>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</si>
  <si>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</si>
  <si>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</si>
  <si>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</si>
  <si>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</si>
  <si>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</si>
  <si>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</si>
  <si>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</si>
  <si>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</si>
  <si>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</si>
  <si>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</si>
  <si>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</si>
  <si>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</si>
  <si>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</si>
  <si>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</si>
  <si>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</si>
  <si>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</si>
  <si>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</si>
  <si>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</si>
  <si>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</si>
  <si>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</si>
  <si>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</si>
  <si>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</si>
  <si>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</si>
  <si>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</si>
  <si>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</si>
  <si>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</si>
  <si>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</si>
  <si>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</si>
  <si>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</si>
  <si>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</si>
  <si>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</si>
  <si>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</si>
  <si>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</si>
  <si>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</si>
  <si>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</si>
  <si>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</si>
  <si>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</si>
  <si>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</si>
  <si>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</si>
  <si>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</si>
  <si>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</si>
  <si>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</si>
  <si>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</si>
  <si>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</si>
  <si>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</si>
  <si>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</si>
  <si>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</si>
  <si>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</si>
  <si>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</si>
  <si>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</si>
  <si>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</si>
  <si>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</si>
  <si>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</si>
  <si>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</si>
  <si>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</si>
  <si>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</si>
  <si>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</si>
  <si>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</si>
  <si>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</si>
  <si>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</si>
  <si>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</si>
  <si>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</si>
  <si>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</si>
  <si>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</si>
  <si>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</si>
  <si>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</si>
  <si>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</si>
  <si>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</si>
  <si>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</si>
  <si>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</si>
  <si>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</si>
  <si>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</si>
  <si>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</si>
  <si>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</si>
  <si>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</si>
  <si>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</si>
  <si>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</si>
  <si>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</si>
  <si>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</si>
  <si>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</si>
  <si>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</si>
  <si>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</si>
  <si>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</si>
  <si>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</si>
  <si>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</si>
  <si>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</si>
  <si>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</si>
  <si>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</si>
  <si>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</si>
  <si>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</si>
  <si>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</si>
  <si>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</si>
  <si>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</si>
  <si>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</si>
  <si>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</si>
  <si>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</si>
  <si>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</si>
  <si>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</si>
  <si>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</si>
  <si>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</si>
  <si>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</si>
  <si>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</si>
  <si>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</si>
  <si>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</si>
  <si>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</si>
  <si>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</si>
  <si>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</si>
  <si>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</si>
  <si>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</si>
  <si>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</si>
  <si>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</si>
  <si>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</si>
  <si>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</si>
  <si>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</si>
  <si>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</si>
  <si>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</si>
  <si>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</si>
  <si>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</si>
  <si>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</si>
  <si>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</si>
  <si>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</si>
  <si>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</si>
  <si>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</si>
  <si>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</si>
  <si>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</si>
  <si>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</si>
  <si>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</si>
  <si>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</si>
  <si>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</si>
  <si>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</si>
  <si>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</si>
  <si>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</si>
  <si>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</si>
  <si>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</si>
  <si>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</si>
  <si>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</si>
  <si>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</si>
  <si>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</si>
  <si>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</si>
  <si>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</si>
  <si>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</si>
  <si>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</si>
  <si>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</si>
  <si>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</si>
  <si>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</si>
  <si>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</si>
  <si>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</si>
  <si>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</si>
  <si>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</si>
  <si>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</si>
  <si>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</si>
  <si>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</si>
  <si>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</si>
  <si>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</si>
  <si>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</si>
  <si>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</si>
  <si>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</si>
  <si>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</si>
  <si>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</si>
  <si>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</si>
  <si>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</si>
  <si>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</si>
  <si>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</si>
  <si>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</si>
  <si>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</si>
  <si>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</si>
  <si>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</si>
  <si>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</si>
  <si>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</si>
  <si>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</si>
  <si>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</si>
  <si>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</si>
  <si>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</si>
  <si>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</si>
  <si>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</si>
  <si>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</si>
  <si>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</si>
  <si>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</si>
  <si>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</si>
  <si>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</si>
  <si>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</si>
  <si>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</si>
  <si>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</si>
  <si>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</si>
  <si>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</si>
  <si>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</si>
  <si>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</si>
  <si>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</si>
  <si>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</si>
  <si>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</si>
  <si>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</si>
  <si>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</si>
  <si>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</si>
  <si>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</si>
  <si>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</si>
  <si>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</si>
  <si>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</si>
  <si>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</si>
  <si>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</si>
  <si>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</si>
  <si>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</si>
  <si>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</si>
  <si>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</si>
  <si>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</si>
  <si>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</si>
  <si>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</si>
  <si>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</si>
  <si>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</si>
  <si>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</si>
  <si>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</si>
  <si>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</si>
  <si>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</si>
  <si>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</si>
  <si>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</si>
  <si>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</si>
  <si>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</si>
  <si>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</si>
  <si>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</si>
  <si>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</si>
  <si>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</si>
  <si>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</si>
  <si>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</si>
  <si>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</si>
  <si>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</si>
  <si>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</si>
  <si>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</si>
  <si>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</si>
  <si>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</si>
  <si>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</si>
  <si>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</si>
  <si>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</si>
  <si>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</si>
  <si>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</si>
  <si>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</si>
  <si>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</si>
  <si>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</si>
  <si>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</si>
  <si>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</si>
  <si>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</si>
  <si>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</si>
  <si>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</si>
  <si>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</si>
  <si>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</si>
  <si>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</si>
  <si>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</si>
  <si>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</si>
  <si>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</si>
  <si>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</si>
  <si>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</si>
  <si>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</si>
  <si>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</si>
  <si>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</si>
  <si>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</si>
  <si>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</si>
  <si>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</si>
  <si>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</si>
  <si>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</si>
  <si>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</si>
  <si>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</si>
  <si>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</si>
  <si>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</si>
  <si>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</si>
  <si>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</si>
  <si>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</si>
  <si>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</si>
  <si>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</si>
  <si>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</si>
  <si>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</si>
  <si>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</si>
  <si>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</si>
  <si>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</si>
  <si>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</si>
  <si>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</si>
  <si>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</si>
  <si>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</si>
  <si>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</si>
  <si>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</si>
  <si>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</si>
  <si>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</si>
  <si>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</si>
  <si>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</si>
  <si>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</si>
  <si>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</si>
  <si>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</si>
  <si>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</si>
  <si>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</si>
  <si>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</si>
  <si>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</si>
  <si>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</si>
  <si>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</si>
  <si>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</si>
  <si>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</si>
  <si>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</si>
  <si>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</si>
  <si>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</si>
  <si>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</si>
  <si>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</si>
  <si>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</si>
  <si>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</si>
  <si>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</si>
  <si>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</si>
  <si>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</si>
  <si>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</si>
  <si>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</si>
  <si>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</si>
  <si>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</si>
  <si>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</si>
  <si>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</si>
  <si>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</si>
  <si>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</si>
  <si>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</si>
  <si>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</si>
  <si>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</si>
  <si>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</si>
  <si>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</si>
  <si>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</si>
  <si>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</si>
  <si>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</si>
  <si>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</si>
  <si>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</si>
  <si>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</si>
  <si>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</si>
  <si>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</si>
  <si>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</si>
  <si>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</si>
  <si>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</si>
  <si>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</si>
  <si>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</si>
  <si>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</si>
  <si>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</si>
  <si>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</si>
  <si>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</si>
  <si>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</si>
  <si>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</si>
  <si>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</si>
  <si>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</si>
  <si>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</si>
  <si>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</si>
  <si>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</si>
  <si>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</si>
  <si>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</si>
  <si>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</si>
  <si>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</si>
  <si>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</si>
  <si>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</si>
  <si>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</si>
  <si>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</si>
  <si>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</si>
  <si>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</si>
  <si>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</si>
  <si>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</si>
  <si>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</si>
  <si>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</si>
  <si>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</si>
  <si>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</si>
  <si>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</si>
  <si>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</si>
  <si>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</si>
  <si>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</si>
  <si>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</si>
  <si>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</si>
  <si>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</si>
  <si>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</si>
  <si>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</si>
  <si>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</si>
  <si>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</si>
  <si>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</si>
  <si>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</si>
  <si>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</si>
  <si>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</si>
  <si>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</si>
  <si>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</si>
  <si>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</si>
  <si>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</si>
  <si>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</si>
  <si>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</si>
  <si>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</si>
  <si>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</si>
  <si>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郑燚</t>
  </si>
  <si>
    <t>抵押价格</t>
  </si>
  <si>
    <t>其他：</t>
  </si>
  <si>
    <t>海南省</t>
  </si>
  <si>
    <t>企业</t>
  </si>
  <si>
    <t>一致</t>
  </si>
  <si>
    <t>符合</t>
  </si>
  <si>
    <t>序号</t>
    <phoneticPr fontId="224" type="noConversion"/>
  </si>
  <si>
    <t>建筑物名称</t>
    <phoneticPr fontId="224" type="noConversion"/>
  </si>
  <si>
    <t>建筑面积</t>
    <phoneticPr fontId="224" type="noConversion"/>
  </si>
  <si>
    <t>地上</t>
  </si>
  <si>
    <t>地上</t>
    <phoneticPr fontId="224" type="noConversion"/>
  </si>
  <si>
    <t>地下</t>
  </si>
  <si>
    <t>地下</t>
    <phoneticPr fontId="224" type="noConversion"/>
  </si>
  <si>
    <t>是</t>
  </si>
  <si>
    <t>住宅</t>
    <phoneticPr fontId="7" type="noConversion"/>
  </si>
  <si>
    <t>利息：取LPR加浮动点数</t>
  </si>
  <si>
    <t>较好</t>
  </si>
  <si>
    <t>一般</t>
  </si>
  <si>
    <t>六通</t>
  </si>
  <si>
    <t>地块名称</t>
  </si>
  <si>
    <t>地块编号</t>
  </si>
  <si>
    <t>省份</t>
  </si>
  <si>
    <t>区县</t>
  </si>
  <si>
    <t>板块</t>
  </si>
  <si>
    <t>用地性质</t>
  </si>
  <si>
    <t>建设用地面积(㎡)</t>
  </si>
  <si>
    <t>规划建筑面积(㎡)</t>
  </si>
  <si>
    <t>详细规划</t>
  </si>
  <si>
    <t>成交日期</t>
  </si>
  <si>
    <t>受让单位</t>
  </si>
  <si>
    <t>拿地企业</t>
  </si>
  <si>
    <t>企业性质</t>
  </si>
  <si>
    <t>成交价(万元)</t>
  </si>
  <si>
    <t>成交每亩价(万元/亩)</t>
  </si>
  <si>
    <t>成交楼面价(元/㎡)</t>
  </si>
  <si>
    <t>溢价率(%)</t>
  </si>
  <si>
    <t>出让年限(年)</t>
  </si>
  <si>
    <t>三亚海棠湾国家海岸休闲园区控规HT07-05-05地块</t>
  </si>
  <si>
    <t>SY2022-31</t>
  </si>
  <si>
    <t xml:space="preserve"> 海南省</t>
  </si>
  <si>
    <t xml:space="preserve"> 海棠区</t>
  </si>
  <si>
    <t xml:space="preserve"> 海棠湾镇</t>
  </si>
  <si>
    <t xml:space="preserve"> 住宅用地</t>
  </si>
  <si>
    <t xml:space="preserve"> 城镇住宅-普通商品住房用地</t>
  </si>
  <si>
    <t xml:space="preserve"> --</t>
  </si>
  <si>
    <t xml:space="preserve"> 三亚润投投资有限公司  </t>
  </si>
  <si>
    <t xml:space="preserve"> 三亚城市投资建设,华润置地</t>
  </si>
  <si>
    <t xml:space="preserve"> 地方国有企业,中央国有企业</t>
  </si>
  <si>
    <t xml:space="preserve"> 70年</t>
  </si>
  <si>
    <t>三亚中央商务区凤凰海岸单元控规YGHA06-02-09/10/11/12地块</t>
  </si>
  <si>
    <t>SY2022-19</t>
  </si>
  <si>
    <t xml:space="preserve"> 天涯区</t>
  </si>
  <si>
    <t xml:space="preserve"> 10-15号片区</t>
  </si>
  <si>
    <t xml:space="preserve"> 紫金悦海实业(海南)有限公司  </t>
  </si>
  <si>
    <t xml:space="preserve"> 闽西兴杭</t>
  </si>
  <si>
    <t>三亚中央商务区凤凰海岸单元控规YGHA06-03-16/17/18地块</t>
  </si>
  <si>
    <t>SY2022-20</t>
  </si>
  <si>
    <t xml:space="preserve"> 三亚市正扬新材料有限公司  </t>
  </si>
  <si>
    <t xml:space="preserve"> 恒力集团</t>
  </si>
  <si>
    <t xml:space="preserve"> 民营企业</t>
  </si>
  <si>
    <t>中心城区控规XYT01-02-01和XYT01-02-02地块内</t>
  </si>
  <si>
    <t>SY2022-17</t>
  </si>
  <si>
    <t xml:space="preserve"> 吉阳区</t>
  </si>
  <si>
    <t xml:space="preserve"> 28,30-33,38-40,44,45,47号片区</t>
  </si>
  <si>
    <t xml:space="preserve"> 海南嘉富投资有限公司  </t>
  </si>
  <si>
    <t>三亚崖州湾科技城控规YK02-11-04-01、YK02-11-04-02、YK02-11-04-03和YK02-11-04-04地块</t>
  </si>
  <si>
    <t>SY2022-13</t>
  </si>
  <si>
    <t xml:space="preserve"> 崖州区</t>
  </si>
  <si>
    <t xml:space="preserve"> 崖城镇</t>
  </si>
  <si>
    <t xml:space="preserve"> 招商三亚深海科技城开发有限公司  </t>
  </si>
  <si>
    <t xml:space="preserve"> 招商蛇口</t>
  </si>
  <si>
    <t xml:space="preserve"> 中央国有企业</t>
  </si>
  <si>
    <t>三亚海棠湾国家海岸休闲园区控规HT05-05-01、HT05-05-03和HT05-05-04地块</t>
  </si>
  <si>
    <t>SY2022-11</t>
  </si>
  <si>
    <t xml:space="preserve"> 港中旅(深圳)投资发展有限公司  </t>
  </si>
  <si>
    <t xml:space="preserve"> 中国旅游集团有限公司</t>
  </si>
  <si>
    <t xml:space="preserve"> 地方国有企业</t>
  </si>
  <si>
    <t>三亚市中心城区控规YC02-49-03地块</t>
  </si>
  <si>
    <t>SY2022-06</t>
  </si>
  <si>
    <t xml:space="preserve"> 城镇住宅-共有产权住房用地</t>
  </si>
  <si>
    <t xml:space="preserve"> 三亚城市投资建设集团有限公司  </t>
  </si>
  <si>
    <t xml:space="preserve"> 三亚城市投资建设</t>
  </si>
  <si>
    <t>中心城区控规HP02-01-06/07-01地块内</t>
  </si>
  <si>
    <t>SY2022-05</t>
  </si>
  <si>
    <t xml:space="preserve"> 51-55号片区</t>
  </si>
  <si>
    <t xml:space="preserve"> 海南远达投资有限公司  </t>
  </si>
  <si>
    <t>三亚崖州湾科技城控规YK06-05-01、YK06-05-02地块</t>
  </si>
  <si>
    <t>SY2022-03</t>
  </si>
  <si>
    <t xml:space="preserve"> 海南万兴房地产开发有限公司  </t>
  </si>
  <si>
    <t xml:space="preserve"> 万科</t>
  </si>
  <si>
    <t xml:space="preserve"> 混合所有制</t>
  </si>
  <si>
    <t>三亚崖州湾科技城控规YK06-05-01、YK06-05-02地块内</t>
  </si>
  <si>
    <t>SY2021-33</t>
  </si>
  <si>
    <t xml:space="preserve"> 海南万科企业管理有限公司  </t>
  </si>
  <si>
    <t>三亚市中心城区控规BP02-13地块</t>
  </si>
  <si>
    <t>SY2021-26</t>
  </si>
  <si>
    <t xml:space="preserve"> 20,22号片区</t>
  </si>
  <si>
    <t xml:space="preserve"> 三亚不夜城置业有限公司  </t>
  </si>
  <si>
    <t xml:space="preserve"> 碧桂园,保利发展</t>
  </si>
  <si>
    <t xml:space="preserve"> 民营企业,中央国有企业</t>
  </si>
  <si>
    <t>三亚市中心城区控规BP02-14地块</t>
  </si>
  <si>
    <t>SY2021-27</t>
  </si>
  <si>
    <t>三亚市中心城区控规BP02-18地块</t>
  </si>
  <si>
    <t>SY2021-28</t>
  </si>
  <si>
    <t xml:space="preserve"> 保利发展,碧桂园</t>
  </si>
  <si>
    <t xml:space="preserve"> 中央国有企业,民营企业</t>
  </si>
  <si>
    <t>三亚崖州湾科技城控规YK06-02-03、YK06-02-04</t>
  </si>
  <si>
    <t>YK06-02-03、YK06-02-04</t>
  </si>
  <si>
    <t xml:space="preserve"> 城镇住宅用地(安居型商品住房用地)</t>
  </si>
  <si>
    <t xml:space="preserve"> 保利(三亚)房地产开发有限公司  </t>
  </si>
  <si>
    <t xml:space="preserve"> 保利发展</t>
  </si>
  <si>
    <t>海棠湾南田片区控规G13-01-02地块</t>
  </si>
  <si>
    <t>SY2021-10</t>
  </si>
  <si>
    <t xml:space="preserve"> 三亚保锦实业发展有限公司  </t>
  </si>
  <si>
    <t>楼面地价</t>
  </si>
  <si>
    <t>项目全部</t>
  </si>
  <si>
    <t>比较法-住宅、综合</t>
  </si>
  <si>
    <t>剩余法-待开发</t>
  </si>
  <si>
    <t>较规则</t>
    <phoneticPr fontId="26" type="noConversion"/>
  </si>
  <si>
    <t>较适宜</t>
    <phoneticPr fontId="26" type="noConversion"/>
  </si>
  <si>
    <t>70</t>
    <phoneticPr fontId="26" type="noConversion"/>
  </si>
  <si>
    <t>三亚市吉阳区抱坡村住宅、商业用地</t>
    <phoneticPr fontId="6" type="noConversion"/>
  </si>
  <si>
    <t>金冠亚沙村</t>
    <phoneticPr fontId="3" type="noConversion"/>
  </si>
  <si>
    <t>三亚市吉阳区</t>
    <phoneticPr fontId="3" type="noConversion"/>
  </si>
  <si>
    <t>报价</t>
    <phoneticPr fontId="21" type="noConversion"/>
  </si>
  <si>
    <t>洋房</t>
    <phoneticPr fontId="21" type="noConversion"/>
  </si>
  <si>
    <t>小高层</t>
    <phoneticPr fontId="21" type="noConversion"/>
  </si>
  <si>
    <t>高层</t>
  </si>
  <si>
    <t>高层</t>
    <phoneticPr fontId="21" type="noConversion"/>
  </si>
  <si>
    <t>钢混</t>
    <phoneticPr fontId="21" type="noConversion"/>
  </si>
  <si>
    <t>高档</t>
    <phoneticPr fontId="21" type="noConversion"/>
  </si>
  <si>
    <t>中档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</si>
  <si>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</si>
  <si>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</si>
  <si>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</si>
  <si>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</si>
  <si>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</si>
  <si>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phoneticPr fontId="21" type="noConversion"/>
  </si>
  <si>
    <t>普通物业</t>
    <phoneticPr fontId="21" type="noConversion"/>
  </si>
  <si>
    <t>住宅</t>
    <phoneticPr fontId="21" type="noConversion"/>
  </si>
  <si>
    <t>较好</t>
    <phoneticPr fontId="21" type="noConversion"/>
  </si>
  <si>
    <t>普通住宅</t>
  </si>
  <si>
    <t>商业</t>
    <phoneticPr fontId="224" type="noConversion"/>
  </si>
  <si>
    <t>地下室</t>
    <phoneticPr fontId="224" type="noConversion"/>
  </si>
  <si>
    <t>普通住宅</t>
    <phoneticPr fontId="224" type="noConversion"/>
  </si>
  <si>
    <t>用地面积</t>
    <phoneticPr fontId="224" type="noConversion"/>
  </si>
  <si>
    <t>总建筑面积</t>
    <phoneticPr fontId="224" type="noConversion"/>
  </si>
  <si>
    <t>地上总建面</t>
    <phoneticPr fontId="224" type="noConversion"/>
  </si>
  <si>
    <t>地上计容</t>
    <phoneticPr fontId="224" type="noConversion"/>
  </si>
  <si>
    <t>居住及配套</t>
    <phoneticPr fontId="224" type="noConversion"/>
  </si>
  <si>
    <t>住宅</t>
    <phoneticPr fontId="224" type="noConversion"/>
  </si>
  <si>
    <t>社区服务</t>
    <phoneticPr fontId="224" type="noConversion"/>
  </si>
  <si>
    <t>社区便利</t>
    <phoneticPr fontId="224" type="noConversion"/>
  </si>
  <si>
    <t>物业配套</t>
    <phoneticPr fontId="224" type="noConversion"/>
  </si>
  <si>
    <t>零售商业</t>
    <phoneticPr fontId="224" type="noConversion"/>
  </si>
  <si>
    <t>商业</t>
    <phoneticPr fontId="224" type="noConversion"/>
  </si>
  <si>
    <t>地上不计容</t>
    <phoneticPr fontId="224" type="noConversion"/>
  </si>
  <si>
    <t>架空层</t>
    <phoneticPr fontId="224" type="noConversion"/>
  </si>
  <si>
    <t>独立门岗</t>
    <phoneticPr fontId="224" type="noConversion"/>
  </si>
  <si>
    <t>地下不计容</t>
    <phoneticPr fontId="224" type="noConversion"/>
  </si>
  <si>
    <t>车库</t>
    <phoneticPr fontId="224" type="noConversion"/>
  </si>
  <si>
    <t>市政地下空间</t>
    <phoneticPr fontId="224" type="noConversion"/>
  </si>
  <si>
    <t>容积率</t>
    <phoneticPr fontId="224" type="noConversion"/>
  </si>
  <si>
    <t>总占地</t>
    <phoneticPr fontId="224" type="noConversion"/>
  </si>
  <si>
    <t xml:space="preserve"> </t>
    <phoneticPr fontId="224" type="noConversion"/>
  </si>
  <si>
    <t>地下机动车停车位</t>
    <phoneticPr fontId="224" type="noConversion"/>
  </si>
  <si>
    <t xml:space="preserve"> </t>
    <phoneticPr fontId="224" type="noConversion"/>
  </si>
  <si>
    <t xml:space="preserve"> </t>
    <phoneticPr fontId="224" type="noConversion"/>
  </si>
  <si>
    <t>车库</t>
    <phoneticPr fontId="224" type="noConversion"/>
  </si>
  <si>
    <t>地上配套</t>
    <phoneticPr fontId="224" type="noConversion"/>
  </si>
  <si>
    <t>地上设备</t>
    <phoneticPr fontId="224" type="noConversion"/>
  </si>
  <si>
    <t>地下设备</t>
    <phoneticPr fontId="224" type="noConversion"/>
  </si>
  <si>
    <t xml:space="preserve"> </t>
    <phoneticPr fontId="224" type="noConversion"/>
  </si>
  <si>
    <t xml:space="preserve"> </t>
    <phoneticPr fontId="224" type="noConversion"/>
  </si>
  <si>
    <t>其他</t>
    <phoneticPr fontId="224" type="noConversion"/>
  </si>
  <si>
    <t>公寓</t>
  </si>
  <si>
    <t>公寓</t>
    <phoneticPr fontId="7" type="noConversion"/>
  </si>
  <si>
    <t>毛坯</t>
    <phoneticPr fontId="3" type="noConversion"/>
  </si>
  <si>
    <t>精装</t>
    <phoneticPr fontId="3" type="noConversion"/>
  </si>
  <si>
    <t>售价</t>
  </si>
  <si>
    <t>国有建设用地使用权出让合同</t>
    <phoneticPr fontId="224" type="noConversion"/>
  </si>
  <si>
    <t>受让人</t>
    <phoneticPr fontId="224" type="noConversion"/>
  </si>
  <si>
    <t>三亚国奥体育产业投资有限公司</t>
    <phoneticPr fontId="224" type="noConversion"/>
  </si>
  <si>
    <t>宗地编号</t>
    <phoneticPr fontId="224" type="noConversion"/>
  </si>
  <si>
    <r>
      <t>S</t>
    </r>
    <r>
      <rPr>
        <sz val="11"/>
        <color theme="1"/>
        <rFont val="宋体"/>
        <family val="3"/>
        <charset val="134"/>
        <scheme val="minor"/>
      </rPr>
      <t>Y2019-22</t>
    </r>
    <phoneticPr fontId="224" type="noConversion"/>
  </si>
  <si>
    <t>宗地面积</t>
    <phoneticPr fontId="224" type="noConversion"/>
  </si>
  <si>
    <t>平方米</t>
    <phoneticPr fontId="224" type="noConversion"/>
  </si>
  <si>
    <t>坐落</t>
    <phoneticPr fontId="224" type="noConversion"/>
  </si>
  <si>
    <r>
      <t>中心城区控规B</t>
    </r>
    <r>
      <rPr>
        <sz val="11"/>
        <color theme="1"/>
        <rFont val="宋体"/>
        <family val="3"/>
        <charset val="134"/>
        <scheme val="minor"/>
      </rPr>
      <t>P08-26号BP08-17地块</t>
    </r>
    <phoneticPr fontId="224" type="noConversion"/>
  </si>
  <si>
    <t>用途</t>
    <phoneticPr fontId="224" type="noConversion"/>
  </si>
  <si>
    <t>城镇住宅用地</t>
    <phoneticPr fontId="224" type="noConversion"/>
  </si>
  <si>
    <t>零售商业用地</t>
    <phoneticPr fontId="224" type="noConversion"/>
  </si>
  <si>
    <t>交付</t>
    <phoneticPr fontId="224" type="noConversion"/>
  </si>
  <si>
    <t>土地条件</t>
    <phoneticPr fontId="224" type="noConversion"/>
  </si>
  <si>
    <t>按土地现状出让</t>
    <phoneticPr fontId="224" type="noConversion"/>
  </si>
  <si>
    <t>出让年期</t>
    <phoneticPr fontId="224" type="noConversion"/>
  </si>
  <si>
    <t>住宅</t>
    <phoneticPr fontId="224" type="noConversion"/>
  </si>
  <si>
    <r>
      <t>7</t>
    </r>
    <r>
      <rPr>
        <sz val="11"/>
        <color theme="1"/>
        <rFont val="宋体"/>
        <family val="3"/>
        <charset val="134"/>
        <scheme val="minor"/>
      </rPr>
      <t>0年</t>
    </r>
    <phoneticPr fontId="224" type="noConversion"/>
  </si>
  <si>
    <t>商业</t>
    <phoneticPr fontId="224" type="noConversion"/>
  </si>
  <si>
    <r>
      <t>4</t>
    </r>
    <r>
      <rPr>
        <sz val="11"/>
        <color theme="1"/>
        <rFont val="宋体"/>
        <family val="3"/>
        <charset val="134"/>
        <scheme val="minor"/>
      </rPr>
      <t>0年</t>
    </r>
    <phoneticPr fontId="224" type="noConversion"/>
  </si>
  <si>
    <t>出让价款</t>
    <phoneticPr fontId="224" type="noConversion"/>
  </si>
  <si>
    <t>万元</t>
    <phoneticPr fontId="224" type="noConversion"/>
  </si>
  <si>
    <t>元</t>
    <phoneticPr fontId="224" type="noConversion"/>
  </si>
  <si>
    <t xml:space="preserve"> </t>
    <phoneticPr fontId="224" type="noConversion"/>
  </si>
  <si>
    <t>地面单价</t>
    <phoneticPr fontId="224" type="noConversion"/>
  </si>
  <si>
    <t>建筑总面积</t>
    <phoneticPr fontId="224" type="noConversion"/>
  </si>
  <si>
    <t>容积率</t>
    <phoneticPr fontId="224" type="noConversion"/>
  </si>
  <si>
    <t>建筑限高</t>
    <phoneticPr fontId="224" type="noConversion"/>
  </si>
  <si>
    <t>米</t>
    <phoneticPr fontId="224" type="noConversion"/>
  </si>
  <si>
    <t>建筑密度</t>
    <phoneticPr fontId="224" type="noConversion"/>
  </si>
  <si>
    <t>绿地率</t>
    <phoneticPr fontId="224" type="noConversion"/>
  </si>
  <si>
    <t>开工</t>
    <phoneticPr fontId="224" type="noConversion"/>
  </si>
  <si>
    <t>竣工</t>
    <phoneticPr fontId="224" type="noConversion"/>
  </si>
  <si>
    <t>签订</t>
    <phoneticPr fontId="224" type="noConversion"/>
  </si>
  <si>
    <t>补充协议-受让人变更</t>
    <phoneticPr fontId="224" type="noConversion"/>
  </si>
  <si>
    <t>受让人</t>
    <phoneticPr fontId="224" type="noConversion"/>
  </si>
  <si>
    <t>三亚国奥体育产业园一区投资有限公司</t>
    <phoneticPr fontId="224" type="noConversion"/>
  </si>
  <si>
    <t>补充协议-指标变更</t>
    <phoneticPr fontId="224" type="noConversion"/>
  </si>
  <si>
    <t>原</t>
    <phoneticPr fontId="224" type="noConversion"/>
  </si>
  <si>
    <t>现</t>
    <phoneticPr fontId="224" type="noConversion"/>
  </si>
  <si>
    <r>
      <t>2</t>
    </r>
    <r>
      <rPr>
        <sz val="11"/>
        <color theme="1"/>
        <rFont val="宋体"/>
        <family val="3"/>
        <charset val="134"/>
        <scheme val="minor"/>
      </rPr>
      <t>7地块</t>
    </r>
    <phoneticPr fontId="224" type="noConversion"/>
  </si>
  <si>
    <t>保证金</t>
    <phoneticPr fontId="224" type="noConversion"/>
  </si>
  <si>
    <t>尾款</t>
    <phoneticPr fontId="224" type="noConversion"/>
  </si>
  <si>
    <t>较规则</t>
  </si>
  <si>
    <t>三通</t>
  </si>
  <si>
    <t>钢混</t>
  </si>
  <si>
    <t>中档</t>
  </si>
  <si>
    <t>专业物业</t>
  </si>
  <si>
    <t>公寓</t>
    <phoneticPr fontId="21" type="noConversion"/>
  </si>
  <si>
    <t>商业</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</si>
  <si>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</si>
  <si>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</si>
  <si>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土地（套用方法）</t>
  </si>
  <si>
    <t>押一</t>
  </si>
  <si>
    <t>商业</t>
    <phoneticPr fontId="3" type="noConversion"/>
  </si>
  <si>
    <t>系数</t>
    <phoneticPr fontId="3" type="noConversion"/>
  </si>
  <si>
    <t>租金</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</si>
  <si>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</si>
  <si>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t>1</t>
    </r>
    <r>
      <rPr>
        <sz val="11"/>
        <color theme="1"/>
        <rFont val="宋体"/>
        <family val="3"/>
        <charset val="134"/>
      </rPr>
      <t>层</t>
    </r>
    <phoneticPr fontId="3" type="noConversion"/>
  </si>
  <si>
    <r>
      <t>2</t>
    </r>
    <r>
      <rPr>
        <sz val="11"/>
        <color theme="1"/>
        <rFont val="宋体"/>
        <family val="3"/>
        <charset val="134"/>
      </rPr>
      <t>层</t>
    </r>
    <phoneticPr fontId="3" type="noConversion"/>
  </si>
  <si>
    <r>
      <t>3</t>
    </r>
    <r>
      <rPr>
        <sz val="11"/>
        <color theme="1"/>
        <rFont val="宋体"/>
        <family val="3"/>
        <charset val="134"/>
      </rPr>
      <t>层</t>
    </r>
    <phoneticPr fontId="3" type="noConversion"/>
  </si>
  <si>
    <t>楼层</t>
    <phoneticPr fontId="3" type="noConversion"/>
  </si>
  <si>
    <t>系数</t>
    <phoneticPr fontId="3" type="noConversion"/>
  </si>
  <si>
    <t>单价</t>
    <phoneticPr fontId="3" type="noConversion"/>
  </si>
  <si>
    <r>
      <t>1</t>
    </r>
    <r>
      <rPr>
        <sz val="11"/>
        <color theme="1"/>
        <rFont val="宋体"/>
        <family val="3"/>
        <charset val="134"/>
        <scheme val="minor"/>
      </rPr>
      <t>6-S14#商业楼</t>
    </r>
    <phoneticPr fontId="224" type="noConversion"/>
  </si>
  <si>
    <t>楼层地上/地下</t>
    <phoneticPr fontId="224" type="noConversion"/>
  </si>
  <si>
    <r>
      <t>3</t>
    </r>
    <r>
      <rPr>
        <sz val="11"/>
        <color theme="1"/>
        <rFont val="宋体"/>
        <family val="3"/>
        <charset val="134"/>
        <scheme val="minor"/>
      </rPr>
      <t>/0</t>
    </r>
    <phoneticPr fontId="224" type="noConversion"/>
  </si>
  <si>
    <t>16-S12#商业楼</t>
    <phoneticPr fontId="224" type="noConversion"/>
  </si>
  <si>
    <t>16-S11#B商业楼</t>
    <phoneticPr fontId="224" type="noConversion"/>
  </si>
  <si>
    <t>16-S11#A商业楼</t>
    <phoneticPr fontId="224" type="noConversion"/>
  </si>
  <si>
    <t>地下室</t>
  </si>
  <si>
    <t>0/1</t>
    <phoneticPr fontId="224" type="noConversion"/>
  </si>
  <si>
    <t>16-9#住宅楼</t>
    <phoneticPr fontId="224" type="noConversion"/>
  </si>
  <si>
    <t>16-8#住宅楼</t>
    <phoneticPr fontId="224" type="noConversion"/>
  </si>
  <si>
    <t>16-7#住宅楼</t>
    <phoneticPr fontId="224" type="noConversion"/>
  </si>
  <si>
    <t>16-6#住宅楼</t>
    <phoneticPr fontId="224" type="noConversion"/>
  </si>
  <si>
    <t>16-5#住宅楼</t>
    <phoneticPr fontId="224" type="noConversion"/>
  </si>
  <si>
    <t>16-4#商住综合</t>
    <phoneticPr fontId="224" type="noConversion"/>
  </si>
  <si>
    <t>17/0</t>
    <phoneticPr fontId="224" type="noConversion"/>
  </si>
  <si>
    <t>18/0</t>
    <phoneticPr fontId="224" type="noConversion"/>
  </si>
  <si>
    <t>16-3#住宅楼</t>
    <phoneticPr fontId="224" type="noConversion"/>
  </si>
  <si>
    <t>16-2#住宅楼</t>
    <phoneticPr fontId="224" type="noConversion"/>
  </si>
  <si>
    <t>16-10#住宅楼</t>
    <phoneticPr fontId="224" type="noConversion"/>
  </si>
  <si>
    <t>16-1#商住综合</t>
    <phoneticPr fontId="224" type="noConversion"/>
  </si>
  <si>
    <t>工程进度</t>
    <phoneticPr fontId="224" type="noConversion"/>
  </si>
  <si>
    <t>建筑物名称</t>
  </si>
  <si>
    <r>
      <t>楼层地上</t>
    </r>
    <r>
      <rPr>
        <sz val="9"/>
        <color rgb="FF000000"/>
        <rFont val="Arial"/>
        <family val="2"/>
      </rPr>
      <t>/</t>
    </r>
    <r>
      <rPr>
        <sz val="9"/>
        <color rgb="FF000000"/>
        <rFont val="华文细黑"/>
        <family val="3"/>
        <charset val="134"/>
      </rPr>
      <t>地下</t>
    </r>
  </si>
  <si>
    <r>
      <t>16-1#</t>
    </r>
    <r>
      <rPr>
        <sz val="9"/>
        <color rgb="FF000000"/>
        <rFont val="华文细黑"/>
        <family val="3"/>
        <charset val="134"/>
      </rPr>
      <t>商住综合</t>
    </r>
  </si>
  <si>
    <t>17/0</t>
  </si>
  <si>
    <r>
      <t>16-2#</t>
    </r>
    <r>
      <rPr>
        <sz val="9"/>
        <color rgb="FF000000"/>
        <rFont val="华文细黑"/>
        <family val="3"/>
        <charset val="134"/>
      </rPr>
      <t>住宅楼</t>
    </r>
  </si>
  <si>
    <t>18/0</t>
  </si>
  <si>
    <r>
      <t>16-3#</t>
    </r>
    <r>
      <rPr>
        <sz val="9"/>
        <color rgb="FF000000"/>
        <rFont val="华文细黑"/>
        <family val="3"/>
        <charset val="134"/>
      </rPr>
      <t>住宅楼</t>
    </r>
  </si>
  <si>
    <r>
      <t>16-4#</t>
    </r>
    <r>
      <rPr>
        <sz val="9"/>
        <color rgb="FF000000"/>
        <rFont val="华文细黑"/>
        <family val="3"/>
        <charset val="134"/>
      </rPr>
      <t>商住综合</t>
    </r>
  </si>
  <si>
    <r>
      <t>16-5#</t>
    </r>
    <r>
      <rPr>
        <sz val="9"/>
        <color rgb="FF000000"/>
        <rFont val="华文细黑"/>
        <family val="3"/>
        <charset val="134"/>
      </rPr>
      <t>住宅楼</t>
    </r>
  </si>
  <si>
    <r>
      <t>16-6#</t>
    </r>
    <r>
      <rPr>
        <sz val="9"/>
        <color rgb="FF000000"/>
        <rFont val="华文细黑"/>
        <family val="3"/>
        <charset val="134"/>
      </rPr>
      <t>住宅楼</t>
    </r>
  </si>
  <si>
    <r>
      <t>16-7#</t>
    </r>
    <r>
      <rPr>
        <sz val="9"/>
        <color rgb="FF000000"/>
        <rFont val="华文细黑"/>
        <family val="3"/>
        <charset val="134"/>
      </rPr>
      <t>住宅楼</t>
    </r>
  </si>
  <si>
    <r>
      <t>16-8#</t>
    </r>
    <r>
      <rPr>
        <sz val="9"/>
        <color rgb="FF000000"/>
        <rFont val="华文细黑"/>
        <family val="3"/>
        <charset val="134"/>
      </rPr>
      <t>住宅楼</t>
    </r>
  </si>
  <si>
    <r>
      <t>16-9#</t>
    </r>
    <r>
      <rPr>
        <sz val="9"/>
        <color rgb="FF000000"/>
        <rFont val="华文细黑"/>
        <family val="3"/>
        <charset val="134"/>
      </rPr>
      <t>住宅楼</t>
    </r>
  </si>
  <si>
    <r>
      <t>16-10#</t>
    </r>
    <r>
      <rPr>
        <sz val="9"/>
        <color rgb="FF000000"/>
        <rFont val="华文细黑"/>
        <family val="3"/>
        <charset val="134"/>
      </rPr>
      <t>住宅楼</t>
    </r>
  </si>
  <si>
    <r>
      <t>16-S11#A</t>
    </r>
    <r>
      <rPr>
        <sz val="9"/>
        <color rgb="FF000000"/>
        <rFont val="华文细黑"/>
        <family val="3"/>
        <charset val="134"/>
      </rPr>
      <t>商业楼</t>
    </r>
  </si>
  <si>
    <t>3/0</t>
  </si>
  <si>
    <r>
      <t>16-S11#B</t>
    </r>
    <r>
      <rPr>
        <sz val="9"/>
        <color rgb="FF000000"/>
        <rFont val="华文细黑"/>
        <family val="3"/>
        <charset val="134"/>
      </rPr>
      <t>商业楼</t>
    </r>
  </si>
  <si>
    <r>
      <t>16-S12#</t>
    </r>
    <r>
      <rPr>
        <sz val="9"/>
        <color rgb="FF000000"/>
        <rFont val="华文细黑"/>
        <family val="3"/>
        <charset val="134"/>
      </rPr>
      <t>商业楼</t>
    </r>
  </si>
  <si>
    <r>
      <t>16-S14#</t>
    </r>
    <r>
      <rPr>
        <sz val="9"/>
        <color rgb="FF000000"/>
        <rFont val="华文细黑"/>
        <family val="3"/>
        <charset val="134"/>
      </rPr>
      <t>商业楼</t>
    </r>
  </si>
  <si>
    <t>0/1</t>
  </si>
  <si>
    <t>《不动产权证书》</t>
    <phoneticPr fontId="6" type="noConversion"/>
  </si>
  <si>
    <t xml:space="preserve"> </t>
    <phoneticPr fontId="224" type="noConversion"/>
  </si>
  <si>
    <t xml:space="preserve"> </t>
    <phoneticPr fontId="224" type="noConversion"/>
  </si>
  <si>
    <t xml:space="preserve"> </t>
    <phoneticPr fontId="224" type="noConversion"/>
  </si>
  <si>
    <t>宗地内已开工建设</t>
  </si>
  <si>
    <t>居住项目</t>
  </si>
  <si>
    <t>无</t>
  </si>
  <si>
    <t>否</t>
  </si>
  <si>
    <t>体育场馆已基本完工</t>
    <phoneticPr fontId="6" type="noConversion"/>
  </si>
  <si>
    <t>现状有工程进度 1号楼地下 2号楼地上两层已完工 地下非整体开发 2022年9月已经抵押 其他金融机构非山东信托 抵押后无施工工程进度 财务确认可按照土地抵押 
1地下不需要补缴
2换施工证主要原因是换了总包 规证有过调整 以前 15 16平均容积率2.5 现状16号地容积率2.39 按新规证处理
 3本项目16号地无公寓类型 仅有住宅和商业 有备案价 15号地住宅精装备案32800 其中装修3500 商业含公寓57552毛坯 
4 备案价需要具体备案时才知道 无明确要求上浮比例 无全区域限价 预计本项目16号地住宅精装34800 商业5万8备案 车位无信息据说不是很好卖
5建安约3500到4000毛批 16号地预计2023年6月开工 预计2025年9月交房 预售证主体三分之二可办理本楼   
6体育场已竣工 预计总投8个亿 国锐和合作机构共各自分摊4亿 合作机构是开发西区两块地的企业 国锐仅负责15 16地块开发 体育馆未竣工决算 无法提供实际建造成本 
地下车位售价无信息 出让年限应该从主要用途 住宅</t>
    <phoneticPr fontId="224" type="noConversion"/>
  </si>
  <si>
    <t>市政六通 北至为规划道路未建设 或者15号地 西至未命名道路已通</t>
    <phoneticPr fontId="224" type="noConversion"/>
  </si>
  <si>
    <t>三亚亚沙村</t>
    <phoneticPr fontId="224" type="noConversion"/>
  </si>
  <si>
    <t>时间</t>
    <phoneticPr fontId="224" type="noConversion"/>
  </si>
  <si>
    <t>单价</t>
    <phoneticPr fontId="224" type="noConversion"/>
  </si>
  <si>
    <t>装修</t>
    <phoneticPr fontId="224" type="noConversion"/>
  </si>
  <si>
    <t>精装修</t>
    <phoneticPr fontId="224" type="noConversion"/>
  </si>
  <si>
    <t>类型</t>
    <phoneticPr fontId="224" type="noConversion"/>
  </si>
  <si>
    <t>高层</t>
    <phoneticPr fontId="224" type="noConversion"/>
  </si>
  <si>
    <t>容积率</t>
    <phoneticPr fontId="224" type="noConversion"/>
  </si>
  <si>
    <t>时分亚龙湾</t>
    <phoneticPr fontId="224" type="noConversion"/>
  </si>
  <si>
    <t>三亚欢乐颂</t>
    <phoneticPr fontId="224" type="noConversion"/>
  </si>
  <si>
    <t>毛坯</t>
  </si>
  <si>
    <t>毛坯</t>
    <phoneticPr fontId="224" type="noConversion"/>
  </si>
  <si>
    <t>高层</t>
    <phoneticPr fontId="224" type="noConversion"/>
  </si>
  <si>
    <t>估价对象</t>
  </si>
  <si>
    <t>总计</t>
  </si>
  <si>
    <t>公共配套及物业</t>
  </si>
  <si>
    <t>地下车库</t>
  </si>
  <si>
    <t>经营性用途</t>
  </si>
  <si>
    <t>非经营用途</t>
  </si>
  <si>
    <t>融和公馆</t>
    <phoneticPr fontId="224" type="noConversion"/>
  </si>
  <si>
    <t xml:space="preserve"> </t>
    <phoneticPr fontId="224" type="noConversion"/>
  </si>
  <si>
    <t>精装</t>
    <phoneticPr fontId="224" type="noConversion"/>
  </si>
  <si>
    <t>塔楼</t>
    <phoneticPr fontId="224" type="noConversion"/>
  </si>
  <si>
    <t>精装</t>
    <phoneticPr fontId="224" type="noConversion"/>
  </si>
  <si>
    <t>超高层</t>
    <phoneticPr fontId="224" type="noConversion"/>
  </si>
  <si>
    <t>水岸椰风</t>
    <phoneticPr fontId="224" type="noConversion"/>
  </si>
  <si>
    <t>精装</t>
    <phoneticPr fontId="224" type="noConversion"/>
  </si>
  <si>
    <t>塔楼</t>
    <phoneticPr fontId="224" type="noConversion"/>
  </si>
  <si>
    <t>湖光山舍</t>
    <phoneticPr fontId="224" type="noConversion"/>
  </si>
  <si>
    <t>报价</t>
  </si>
  <si>
    <t>临海</t>
    <phoneticPr fontId="224" type="noConversion"/>
  </si>
  <si>
    <t>否</t>
    <phoneticPr fontId="224" type="noConversion"/>
  </si>
  <si>
    <t>是</t>
    <phoneticPr fontId="224" type="noConversion"/>
  </si>
  <si>
    <t>好</t>
  </si>
  <si>
    <t>好</t>
    <phoneticPr fontId="21" type="noConversion"/>
  </si>
  <si>
    <t xml:space="preserve"> </t>
    <phoneticPr fontId="26" type="noConversion"/>
  </si>
  <si>
    <t>地下车库不出租，移交全体业主。</t>
    <phoneticPr fontId="15" type="noConversion"/>
  </si>
  <si>
    <t>独立商业</t>
  </si>
  <si>
    <t>配套商业</t>
    <phoneticPr fontId="224" type="noConversion"/>
  </si>
  <si>
    <t>一般</t>
    <phoneticPr fontId="26" type="noConversion"/>
  </si>
  <si>
    <t>好</t>
    <phoneticPr fontId="26" type="noConversion"/>
  </si>
  <si>
    <t>临海距离</t>
    <phoneticPr fontId="26" type="noConversion"/>
  </si>
  <si>
    <r>
      <rPr>
        <sz val="11"/>
        <color indexed="8"/>
        <rFont val="宋体"/>
        <family val="3"/>
        <charset val="134"/>
      </rPr>
      <t>大于</t>
    </r>
    <r>
      <rPr>
        <sz val="11"/>
        <color indexed="8"/>
        <rFont val="Arial"/>
        <family val="2"/>
      </rPr>
      <t>2</t>
    </r>
    <phoneticPr fontId="26" type="noConversion"/>
  </si>
  <si>
    <t>1-2</t>
    <phoneticPr fontId="26" type="noConversion"/>
  </si>
  <si>
    <t xml:space="preserve"> </t>
    <phoneticPr fontId="26" type="noConversion"/>
  </si>
  <si>
    <t xml:space="preserve"> </t>
    <phoneticPr fontId="26" type="noConversion"/>
  </si>
  <si>
    <t>0-1</t>
    <phoneticPr fontId="26" type="noConversion"/>
  </si>
  <si>
    <r>
      <t>1.1</t>
    </r>
    <r>
      <rPr>
        <sz val="11"/>
        <rFont val="宋体"/>
        <family val="3"/>
        <charset val="134"/>
      </rPr>
      <t>公里</t>
    </r>
    <phoneticPr fontId="26" type="noConversion"/>
  </si>
  <si>
    <r>
      <t>1.5</t>
    </r>
    <r>
      <rPr>
        <sz val="11"/>
        <rFont val="宋体"/>
        <family val="3"/>
        <charset val="134"/>
      </rPr>
      <t>公里</t>
    </r>
    <phoneticPr fontId="26" type="noConversion"/>
  </si>
  <si>
    <r>
      <t>0.4</t>
    </r>
    <r>
      <rPr>
        <sz val="11"/>
        <rFont val="宋体"/>
        <family val="3"/>
        <charset val="134"/>
      </rPr>
      <t>公里</t>
    </r>
    <phoneticPr fontId="26" type="noConversion"/>
  </si>
  <si>
    <t>一般</t>
    <phoneticPr fontId="21" type="noConversion"/>
  </si>
  <si>
    <t>年度</t>
  </si>
  <si>
    <r>
      <t>1</t>
    </r>
    <r>
      <rPr>
        <sz val="9"/>
        <color theme="1"/>
        <rFont val="仿宋_GB2312"/>
        <family val="3"/>
        <charset val="134"/>
      </rPr>
      <t>季度</t>
    </r>
  </si>
  <si>
    <r>
      <t>2</t>
    </r>
    <r>
      <rPr>
        <sz val="9"/>
        <color theme="1"/>
        <rFont val="仿宋_GB2312"/>
        <family val="3"/>
        <charset val="134"/>
      </rPr>
      <t>季度</t>
    </r>
  </si>
  <si>
    <r>
      <t>3</t>
    </r>
    <r>
      <rPr>
        <sz val="9"/>
        <color theme="1"/>
        <rFont val="仿宋_GB2312"/>
        <family val="3"/>
        <charset val="134"/>
      </rPr>
      <t>季度</t>
    </r>
  </si>
  <si>
    <r>
      <t>4</t>
    </r>
    <r>
      <rPr>
        <sz val="9"/>
        <color theme="1"/>
        <rFont val="仿宋_GB2312"/>
        <family val="3"/>
        <charset val="134"/>
      </rPr>
      <t>季度</t>
    </r>
  </si>
  <si>
    <t>——</t>
    <phoneticPr fontId="224" type="noConversion"/>
  </si>
  <si>
    <t>——</t>
    <phoneticPr fontId="224" type="noConversion"/>
  </si>
  <si>
    <t>住宅、商业</t>
  </si>
  <si>
    <t>住宅、商业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</si>
</sst>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sz val="12"/>
      <color theme="6" tint="-0.249977111117893"/>
      <name val="宋体"/>
      <family val="2"/>
      <scheme val="minor"/>
    </font>
    <font>
      <sz val="12"/>
      <color theme="6" tint="-0.249977111117893"/>
      <name val="宋体"/>
      <family val="3"/>
      <charset val="134"/>
      <scheme val="minor"/>
    </font>
    <font>
      <sz val="12"/>
      <color theme="6"/>
      <name val="宋体"/>
      <family val="2"/>
      <scheme val="minor"/>
    </font>
    <font>
      <sz val="12"/>
      <color theme="6"/>
      <name val="宋体"/>
      <family val="3"/>
      <charset val="134"/>
      <scheme val="minor"/>
    </font>
    <font>
      <sz val="11"/>
      <color theme="9" tint="-0.249977111117893"/>
      <name val="宋体"/>
      <family val="3"/>
      <charset val="134"/>
    </font>
    <font>
      <sz val="9"/>
      <color rgb="FF00000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249977111117893"/>
        <bgColor indexed="64"/>
      </patternFill>
    </fill>
  </fills>
  <borders count="1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300" fillId="0" borderId="0" xfId="0" applyNumberFormat="1" applyFont="1" applyAlignment="1"/>
    <xf numFmtId="14" fontId="301" fillId="0" borderId="0" xfId="0" applyNumberFormat="1" applyFont="1" applyAlignment="1"/>
    <xf numFmtId="0" fontId="301"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182" fontId="72" fillId="24" borderId="12" xfId="0" applyNumberFormat="1" applyFont="1" applyFill="1" applyBorder="1" applyAlignment="1" applyProtection="1">
      <alignment horizontal="center" vertical="center"/>
      <protection locked="0"/>
    </xf>
    <xf numFmtId="0" fontId="302" fillId="0" borderId="0" xfId="0" applyNumberFormat="1" applyFont="1" applyAlignment="1"/>
    <xf numFmtId="14" fontId="303" fillId="0" borderId="0" xfId="0" applyNumberFormat="1" applyFont="1" applyAlignment="1"/>
    <xf numFmtId="0" fontId="303"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49" fontId="304" fillId="0" borderId="12" xfId="0" applyNumberFormat="1" applyFont="1" applyFill="1" applyBorder="1" applyAlignment="1" applyProtection="1">
      <alignment horizontal="left" vertical="center" wrapText="1"/>
      <protection locked="0"/>
    </xf>
    <xf numFmtId="0" fontId="78" fillId="12" borderId="0" xfId="0" applyFont="1" applyFill="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1"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9" fontId="0" fillId="0" borderId="0" xfId="0" applyNumberFormat="1">
      <alignment vertical="center"/>
    </xf>
    <xf numFmtId="31" fontId="141" fillId="0" borderId="0" xfId="0" applyNumberFormat="1" applyFont="1">
      <alignment vertical="center"/>
    </xf>
    <xf numFmtId="0" fontId="78" fillId="12" borderId="0" xfId="0" applyFont="1" applyFill="1" applyAlignment="1" applyProtection="1">
      <alignment vertical="center"/>
      <protection locked="0"/>
    </xf>
    <xf numFmtId="0" fontId="129" fillId="5" borderId="0" xfId="0" applyFont="1" applyFill="1" applyAlignment="1" applyProtection="1">
      <protection locked="0"/>
    </xf>
    <xf numFmtId="0" fontId="32" fillId="8" borderId="0" xfId="0" applyFont="1" applyFill="1" applyAlignment="1" applyProtection="1">
      <alignment vertical="center"/>
      <protection locked="0"/>
    </xf>
    <xf numFmtId="0" fontId="141" fillId="0" borderId="2" xfId="0" applyFont="1" applyBorder="1" applyAlignment="1">
      <alignment horizontal="left" vertical="center"/>
    </xf>
    <xf numFmtId="0" fontId="0" fillId="0" borderId="2" xfId="0" applyBorder="1" applyAlignment="1">
      <alignment horizontal="left" vertical="center"/>
    </xf>
    <xf numFmtId="0" fontId="292" fillId="0" borderId="38" xfId="0" applyFont="1" applyBorder="1" applyAlignment="1">
      <alignment horizontal="left" vertical="center"/>
    </xf>
    <xf numFmtId="0" fontId="292" fillId="0" borderId="66" xfId="0" applyFont="1" applyBorder="1" applyAlignment="1">
      <alignment horizontal="left" vertical="center"/>
    </xf>
    <xf numFmtId="0" fontId="294" fillId="0" borderId="80" xfId="0" applyFont="1" applyBorder="1" applyAlignment="1">
      <alignment horizontal="left" vertical="center" wrapText="1"/>
    </xf>
    <xf numFmtId="0" fontId="294" fillId="0" borderId="66" xfId="0" applyFont="1" applyBorder="1" applyAlignment="1">
      <alignment horizontal="left" vertical="center" wrapText="1"/>
    </xf>
    <xf numFmtId="0" fontId="294" fillId="0" borderId="66" xfId="0" applyFont="1" applyBorder="1" applyAlignment="1">
      <alignment horizontal="left" vertical="center"/>
    </xf>
    <xf numFmtId="0" fontId="294" fillId="0" borderId="80" xfId="0" applyFont="1" applyBorder="1" applyAlignment="1">
      <alignment horizontal="left" vertical="center"/>
    </xf>
    <xf numFmtId="0" fontId="292" fillId="0" borderId="80" xfId="0" applyFont="1" applyBorder="1" applyAlignment="1">
      <alignment horizontal="left" vertical="center"/>
    </xf>
    <xf numFmtId="0" fontId="67" fillId="0" borderId="2" xfId="0" applyFont="1" applyBorder="1" applyAlignment="1" applyProtection="1">
      <alignment horizontal="center" vertical="center"/>
      <protection locked="0"/>
    </xf>
    <xf numFmtId="17" fontId="0" fillId="0" borderId="0" xfId="0" applyNumberFormat="1">
      <alignment vertical="center"/>
    </xf>
    <xf numFmtId="0" fontId="305" fillId="0" borderId="175" xfId="0" applyFont="1" applyBorder="1" applyAlignment="1">
      <alignment vertical="center" wrapText="1"/>
    </xf>
    <xf numFmtId="0" fontId="305" fillId="0" borderId="173" xfId="0" applyFont="1" applyBorder="1" applyAlignment="1">
      <alignment vertical="center" wrapText="1"/>
    </xf>
    <xf numFmtId="0" fontId="77" fillId="0" borderId="5" xfId="0" applyFont="1" applyFill="1" applyBorder="1" applyAlignment="1" applyProtection="1">
      <alignment horizontal="center" vertical="center" wrapText="1"/>
      <protection locked="0"/>
    </xf>
    <xf numFmtId="0" fontId="78" fillId="0" borderId="0" xfId="0" applyFont="1" applyFill="1" applyAlignment="1" applyProtection="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1" fillId="0" borderId="2" xfId="0" applyFont="1" applyBorder="1" applyAlignment="1">
      <alignment horizontal="left" vertical="center"/>
    </xf>
    <xf numFmtId="0" fontId="305" fillId="0" borderId="172" xfId="0" applyFont="1" applyBorder="1" applyAlignment="1">
      <alignment vertical="center" wrapText="1"/>
    </xf>
    <xf numFmtId="0" fontId="305" fillId="0" borderId="173" xfId="0" applyFont="1" applyBorder="1" applyAlignment="1">
      <alignment vertical="center" wrapText="1"/>
    </xf>
    <xf numFmtId="0" fontId="305" fillId="0" borderId="177" xfId="0" applyFont="1" applyBorder="1" applyAlignment="1">
      <alignment vertical="center" wrapText="1"/>
    </xf>
    <xf numFmtId="0" fontId="305" fillId="0" borderId="176" xfId="0" applyFont="1" applyBorder="1" applyAlignment="1">
      <alignment vertical="center" wrapText="1"/>
    </xf>
    <xf numFmtId="0" fontId="305" fillId="0" borderId="174" xfId="0" applyFont="1" applyBorder="1" applyAlignment="1">
      <alignment vertical="center" wrapText="1"/>
    </xf>
    <xf numFmtId="0" fontId="292" fillId="0" borderId="35" xfId="0" applyFont="1" applyBorder="1" applyAlignment="1">
      <alignment horizontal="left" vertical="center"/>
    </xf>
    <xf numFmtId="0" fontId="292" fillId="0" borderId="80" xfId="0" applyFont="1" applyBorder="1" applyAlignment="1">
      <alignment horizontal="left" vertical="center"/>
    </xf>
    <xf numFmtId="0" fontId="292" fillId="0" borderId="36" xfId="0" applyFont="1" applyBorder="1" applyAlignment="1">
      <alignment horizontal="left" vertical="center"/>
    </xf>
    <xf numFmtId="0" fontId="292" fillId="0" borderId="38" xfId="0" applyFont="1" applyBorder="1" applyAlignment="1">
      <alignment horizontal="left" vertical="center"/>
    </xf>
    <xf numFmtId="0" fontId="141"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11"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49" fontId="140" fillId="0" borderId="53" xfId="0" applyNumberFormat="1" applyFont="1" applyFill="1" applyBorder="1" applyAlignment="1" applyProtection="1">
      <alignment horizontal="center" vertical="center" wrapText="1"/>
      <protection locked="0"/>
    </xf>
    <xf numFmtId="49" fontId="77" fillId="0" borderId="74" xfId="0" applyNumberFormat="1" applyFont="1" applyFill="1" applyBorder="1" applyAlignment="1" applyProtection="1">
      <alignment horizontal="center" vertical="center" wrapText="1"/>
      <protection locked="0"/>
    </xf>
    <xf numFmtId="49" fontId="140" fillId="0" borderId="11" xfId="0" applyNumberFormat="1" applyFont="1" applyFill="1" applyBorder="1" applyAlignment="1" applyProtection="1">
      <alignment horizontal="center" vertical="center" wrapText="1"/>
      <protection locked="0"/>
    </xf>
    <xf numFmtId="0" fontId="286" fillId="12" borderId="178" xfId="0" applyFont="1" applyFill="1" applyBorder="1">
      <alignment vertical="center"/>
    </xf>
    <xf numFmtId="0" fontId="169" fillId="12" borderId="174" xfId="0" applyFont="1" applyFill="1" applyBorder="1">
      <alignment vertical="center"/>
    </xf>
    <xf numFmtId="0" fontId="169" fillId="12" borderId="173" xfId="0" applyFont="1" applyFill="1" applyBorder="1">
      <alignment vertical="center"/>
    </xf>
    <xf numFmtId="0" fontId="169" fillId="12" borderId="175" xfId="0" applyFont="1" applyFill="1" applyBorder="1">
      <alignment vertical="center"/>
    </xf>
    <xf numFmtId="0" fontId="286" fillId="12" borderId="175" xfId="0" applyFont="1" applyFill="1" applyBorder="1">
      <alignment vertical="center"/>
    </xf>
    <xf numFmtId="0" fontId="169" fillId="12" borderId="175" xfId="0" applyFont="1" applyFill="1" applyBorder="1" applyAlignment="1">
      <alignment vertical="center" wrapText="1"/>
    </xf>
    <xf numFmtId="180" fontId="72" fillId="12" borderId="0" xfId="0" applyNumberFormat="1" applyFont="1" applyFill="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21" Type="http://schemas.openxmlformats.org/officeDocument/2006/relationships/image" Target="../media/image40.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20" Type="http://schemas.openxmlformats.org/officeDocument/2006/relationships/image" Target="../media/image39.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9</xdr:col>
      <xdr:colOff>1267</xdr:colOff>
      <xdr:row>60</xdr:row>
      <xdr:rowOff>132470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38500"/>
          <a:ext cx="7297417" cy="7180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10</xdr:col>
      <xdr:colOff>65451</xdr:colOff>
      <xdr:row>44</xdr:row>
      <xdr:rowOff>8957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95625"/>
          <a:ext cx="9800001" cy="4552382"/>
        </a:xfrm>
        <a:prstGeom prst="rect">
          <a:avLst/>
        </a:prstGeom>
      </xdr:spPr>
    </xdr:pic>
    <xdr:clientData/>
  </xdr:twoCellAnchor>
  <xdr:twoCellAnchor editAs="oneCell">
    <xdr:from>
      <xdr:col>3</xdr:col>
      <xdr:colOff>0</xdr:colOff>
      <xdr:row>50</xdr:row>
      <xdr:rowOff>0</xdr:rowOff>
    </xdr:from>
    <xdr:to>
      <xdr:col>7</xdr:col>
      <xdr:colOff>856748</xdr:colOff>
      <xdr:row>65</xdr:row>
      <xdr:rowOff>28250</xdr:rowOff>
    </xdr:to>
    <xdr:pic>
      <xdr:nvPicPr>
        <xdr:cNvPr id="9" name="图片 8"/>
        <xdr:cNvPicPr>
          <a:picLocks noChangeAspect="1"/>
        </xdr:cNvPicPr>
      </xdr:nvPicPr>
      <xdr:blipFill>
        <a:blip xmlns:r="http://schemas.openxmlformats.org/officeDocument/2006/relationships" r:embed="rId2"/>
        <a:stretch>
          <a:fillRect/>
        </a:stretch>
      </xdr:blipFill>
      <xdr:spPr>
        <a:xfrm>
          <a:off x="3162300" y="8667750"/>
          <a:ext cx="4019048" cy="2600000"/>
        </a:xfrm>
        <a:prstGeom prst="rect">
          <a:avLst/>
        </a:prstGeom>
      </xdr:spPr>
    </xdr:pic>
    <xdr:clientData/>
  </xdr:twoCellAnchor>
  <xdr:twoCellAnchor editAs="oneCell">
    <xdr:from>
      <xdr:col>1</xdr:col>
      <xdr:colOff>0</xdr:colOff>
      <xdr:row>73</xdr:row>
      <xdr:rowOff>0</xdr:rowOff>
    </xdr:from>
    <xdr:to>
      <xdr:col>4</xdr:col>
      <xdr:colOff>418772</xdr:colOff>
      <xdr:row>83</xdr:row>
      <xdr:rowOff>133112</xdr:rowOff>
    </xdr:to>
    <xdr:pic>
      <xdr:nvPicPr>
        <xdr:cNvPr id="3" name="图片 2"/>
        <xdr:cNvPicPr>
          <a:picLocks noChangeAspect="1"/>
        </xdr:cNvPicPr>
      </xdr:nvPicPr>
      <xdr:blipFill>
        <a:blip xmlns:r="http://schemas.openxmlformats.org/officeDocument/2006/relationships" r:embed="rId3"/>
        <a:stretch>
          <a:fillRect/>
        </a:stretch>
      </xdr:blipFill>
      <xdr:spPr>
        <a:xfrm>
          <a:off x="1524000" y="12611100"/>
          <a:ext cx="2628572" cy="1904762"/>
        </a:xfrm>
        <a:prstGeom prst="rect">
          <a:avLst/>
        </a:prstGeom>
      </xdr:spPr>
    </xdr:pic>
    <xdr:clientData/>
  </xdr:twoCellAnchor>
  <xdr:twoCellAnchor editAs="oneCell">
    <xdr:from>
      <xdr:col>1</xdr:col>
      <xdr:colOff>0</xdr:colOff>
      <xdr:row>85</xdr:row>
      <xdr:rowOff>0</xdr:rowOff>
    </xdr:from>
    <xdr:to>
      <xdr:col>4</xdr:col>
      <xdr:colOff>514010</xdr:colOff>
      <xdr:row>96</xdr:row>
      <xdr:rowOff>28336</xdr:rowOff>
    </xdr:to>
    <xdr:pic>
      <xdr:nvPicPr>
        <xdr:cNvPr id="4" name="图片 3"/>
        <xdr:cNvPicPr>
          <a:picLocks noChangeAspect="1"/>
        </xdr:cNvPicPr>
      </xdr:nvPicPr>
      <xdr:blipFill>
        <a:blip xmlns:r="http://schemas.openxmlformats.org/officeDocument/2006/relationships" r:embed="rId4"/>
        <a:stretch>
          <a:fillRect/>
        </a:stretch>
      </xdr:blipFill>
      <xdr:spPr>
        <a:xfrm>
          <a:off x="1524000" y="14668500"/>
          <a:ext cx="2723810" cy="1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3</xdr:col>
      <xdr:colOff>18791</xdr:colOff>
      <xdr:row>8</xdr:row>
      <xdr:rowOff>152323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4875"/>
          <a:ext cx="2076191" cy="619048"/>
        </a:xfrm>
        <a:prstGeom prst="rect">
          <a:avLst/>
        </a:prstGeom>
      </xdr:spPr>
    </xdr:pic>
    <xdr:clientData/>
  </xdr:twoCellAnchor>
  <xdr:twoCellAnchor editAs="oneCell">
    <xdr:from>
      <xdr:col>0</xdr:col>
      <xdr:colOff>0</xdr:colOff>
      <xdr:row>9</xdr:row>
      <xdr:rowOff>0</xdr:rowOff>
    </xdr:from>
    <xdr:to>
      <xdr:col>10</xdr:col>
      <xdr:colOff>303905</xdr:colOff>
      <xdr:row>22</xdr:row>
      <xdr:rowOff>94960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161905" cy="2323810"/>
        </a:xfrm>
        <a:prstGeom prst="rect">
          <a:avLst/>
        </a:prstGeom>
      </xdr:spPr>
    </xdr:pic>
    <xdr:clientData/>
  </xdr:twoCellAnchor>
  <xdr:twoCellAnchor editAs="oneCell">
    <xdr:from>
      <xdr:col>0</xdr:col>
      <xdr:colOff>0</xdr:colOff>
      <xdr:row>23</xdr:row>
      <xdr:rowOff>0</xdr:rowOff>
    </xdr:from>
    <xdr:to>
      <xdr:col>16</xdr:col>
      <xdr:colOff>8153</xdr:colOff>
      <xdr:row>42</xdr:row>
      <xdr:rowOff>94831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10980953" cy="3352381"/>
        </a:xfrm>
        <a:prstGeom prst="rect">
          <a:avLst/>
        </a:prstGeom>
      </xdr:spPr>
    </xdr:pic>
    <xdr:clientData/>
  </xdr:twoCellAnchor>
  <xdr:twoCellAnchor editAs="oneCell">
    <xdr:from>
      <xdr:col>0</xdr:col>
      <xdr:colOff>0</xdr:colOff>
      <xdr:row>43</xdr:row>
      <xdr:rowOff>0</xdr:rowOff>
    </xdr:from>
    <xdr:to>
      <xdr:col>2</xdr:col>
      <xdr:colOff>618876</xdr:colOff>
      <xdr:row>45</xdr:row>
      <xdr:rowOff>38052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372350"/>
          <a:ext cx="1990476" cy="380952"/>
        </a:xfrm>
        <a:prstGeom prst="rect">
          <a:avLst/>
        </a:prstGeom>
      </xdr:spPr>
    </xdr:pic>
    <xdr:clientData/>
  </xdr:twoCellAnchor>
  <xdr:twoCellAnchor editAs="oneCell">
    <xdr:from>
      <xdr:col>0</xdr:col>
      <xdr:colOff>0</xdr:colOff>
      <xdr:row>46</xdr:row>
      <xdr:rowOff>0</xdr:rowOff>
    </xdr:from>
    <xdr:to>
      <xdr:col>10</xdr:col>
      <xdr:colOff>437239</xdr:colOff>
      <xdr:row>59</xdr:row>
      <xdr:rowOff>171150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886700"/>
          <a:ext cx="7295239" cy="2400000"/>
        </a:xfrm>
        <a:prstGeom prst="rect">
          <a:avLst/>
        </a:prstGeom>
      </xdr:spPr>
    </xdr:pic>
    <xdr:clientData/>
  </xdr:twoCellAnchor>
  <xdr:twoCellAnchor editAs="oneCell">
    <xdr:from>
      <xdr:col>0</xdr:col>
      <xdr:colOff>0</xdr:colOff>
      <xdr:row>82</xdr:row>
      <xdr:rowOff>161925</xdr:rowOff>
    </xdr:from>
    <xdr:to>
      <xdr:col>2</xdr:col>
      <xdr:colOff>637924</xdr:colOff>
      <xdr:row>86</xdr:row>
      <xdr:rowOff>142792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20825"/>
          <a:ext cx="2009524" cy="666667"/>
        </a:xfrm>
        <a:prstGeom prst="rect">
          <a:avLst/>
        </a:prstGeom>
      </xdr:spPr>
    </xdr:pic>
    <xdr:clientData/>
  </xdr:twoCellAnchor>
  <xdr:twoCellAnchor editAs="oneCell">
    <xdr:from>
      <xdr:col>0</xdr:col>
      <xdr:colOff>0</xdr:colOff>
      <xdr:row>85</xdr:row>
      <xdr:rowOff>38100</xdr:rowOff>
    </xdr:from>
    <xdr:to>
      <xdr:col>10</xdr:col>
      <xdr:colOff>303905</xdr:colOff>
      <xdr:row>99</xdr:row>
      <xdr:rowOff>133038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611350"/>
          <a:ext cx="7161905" cy="2495238"/>
        </a:xfrm>
        <a:prstGeom prst="rect">
          <a:avLst/>
        </a:prstGeom>
      </xdr:spPr>
    </xdr:pic>
    <xdr:clientData/>
  </xdr:twoCellAnchor>
  <xdr:twoCellAnchor editAs="oneCell">
    <xdr:from>
      <xdr:col>0</xdr:col>
      <xdr:colOff>0</xdr:colOff>
      <xdr:row>99</xdr:row>
      <xdr:rowOff>38100</xdr:rowOff>
    </xdr:from>
    <xdr:to>
      <xdr:col>18</xdr:col>
      <xdr:colOff>150839</xdr:colOff>
      <xdr:row>120</xdr:row>
      <xdr:rowOff>94793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7011650"/>
          <a:ext cx="12495239" cy="3657143"/>
        </a:xfrm>
        <a:prstGeom prst="rect">
          <a:avLst/>
        </a:prstGeom>
      </xdr:spPr>
    </xdr:pic>
    <xdr:clientData/>
  </xdr:twoCellAnchor>
  <xdr:twoCellAnchor editAs="oneCell">
    <xdr:from>
      <xdr:col>0</xdr:col>
      <xdr:colOff>0</xdr:colOff>
      <xdr:row>57</xdr:row>
      <xdr:rowOff>66675</xdr:rowOff>
    </xdr:from>
    <xdr:to>
      <xdr:col>18</xdr:col>
      <xdr:colOff>65125</xdr:colOff>
      <xdr:row>82</xdr:row>
      <xdr:rowOff>123282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839325"/>
          <a:ext cx="12409525" cy="4342857"/>
        </a:xfrm>
        <a:prstGeom prst="rect">
          <a:avLst/>
        </a:prstGeom>
      </xdr:spPr>
    </xdr:pic>
    <xdr:clientData/>
  </xdr:twoCellAnchor>
  <xdr:twoCellAnchor editAs="oneCell">
    <xdr:from>
      <xdr:col>10</xdr:col>
      <xdr:colOff>314325</xdr:colOff>
      <xdr:row>0</xdr:row>
      <xdr:rowOff>0</xdr:rowOff>
    </xdr:from>
    <xdr:to>
      <xdr:col>24</xdr:col>
      <xdr:colOff>75030</xdr:colOff>
      <xdr:row>19</xdr:row>
      <xdr:rowOff>142450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172325" y="0"/>
          <a:ext cx="9361905" cy="3400000"/>
        </a:xfrm>
        <a:prstGeom prst="rect">
          <a:avLst/>
        </a:prstGeom>
      </xdr:spPr>
    </xdr:pic>
    <xdr:clientData/>
  </xdr:twoCellAnchor>
  <xdr:twoCellAnchor editAs="oneCell">
    <xdr:from>
      <xdr:col>11</xdr:col>
      <xdr:colOff>38100</xdr:colOff>
      <xdr:row>129</xdr:row>
      <xdr:rowOff>76200</xdr:rowOff>
    </xdr:from>
    <xdr:to>
      <xdr:col>34</xdr:col>
      <xdr:colOff>226606</xdr:colOff>
      <xdr:row>158</xdr:row>
      <xdr:rowOff>18436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81900" y="22193250"/>
          <a:ext cx="15961906" cy="4914286"/>
        </a:xfrm>
        <a:prstGeom prst="rect">
          <a:avLst/>
        </a:prstGeom>
      </xdr:spPr>
    </xdr:pic>
    <xdr:clientData/>
  </xdr:twoCellAnchor>
  <xdr:twoCellAnchor editAs="oneCell">
    <xdr:from>
      <xdr:col>0</xdr:col>
      <xdr:colOff>0</xdr:colOff>
      <xdr:row>122</xdr:row>
      <xdr:rowOff>0</xdr:rowOff>
    </xdr:from>
    <xdr:to>
      <xdr:col>9</xdr:col>
      <xdr:colOff>380181</xdr:colOff>
      <xdr:row>154</xdr:row>
      <xdr:rowOff>113600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0916900"/>
          <a:ext cx="6552381" cy="5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142875</xdr:rowOff>
    </xdr:from>
    <xdr:to>
      <xdr:col>3</xdr:col>
      <xdr:colOff>247362</xdr:colOff>
      <xdr:row>7</xdr:row>
      <xdr:rowOff>66599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7225"/>
          <a:ext cx="2304762" cy="609524"/>
        </a:xfrm>
        <a:prstGeom prst="rect">
          <a:avLst/>
        </a:prstGeom>
      </xdr:spPr>
    </xdr:pic>
    <xdr:clientData/>
  </xdr:twoCellAnchor>
  <xdr:twoCellAnchor editAs="oneCell">
    <xdr:from>
      <xdr:col>0</xdr:col>
      <xdr:colOff>0</xdr:colOff>
      <xdr:row>8</xdr:row>
      <xdr:rowOff>0</xdr:rowOff>
    </xdr:from>
    <xdr:to>
      <xdr:col>10</xdr:col>
      <xdr:colOff>322953</xdr:colOff>
      <xdr:row>22</xdr:row>
      <xdr:rowOff>47319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7180953" cy="2447619"/>
        </a:xfrm>
        <a:prstGeom prst="rect">
          <a:avLst/>
        </a:prstGeom>
      </xdr:spPr>
    </xdr:pic>
    <xdr:clientData/>
  </xdr:twoCellAnchor>
  <xdr:twoCellAnchor editAs="oneCell">
    <xdr:from>
      <xdr:col>0</xdr:col>
      <xdr:colOff>0</xdr:colOff>
      <xdr:row>22</xdr:row>
      <xdr:rowOff>123825</xdr:rowOff>
    </xdr:from>
    <xdr:to>
      <xdr:col>16</xdr:col>
      <xdr:colOff>417677</xdr:colOff>
      <xdr:row>42</xdr:row>
      <xdr:rowOff>104349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95725"/>
          <a:ext cx="11390477" cy="3409524"/>
        </a:xfrm>
        <a:prstGeom prst="rect">
          <a:avLst/>
        </a:prstGeom>
      </xdr:spPr>
    </xdr:pic>
    <xdr:clientData/>
  </xdr:twoCellAnchor>
  <xdr:twoCellAnchor editAs="oneCell">
    <xdr:from>
      <xdr:col>10</xdr:col>
      <xdr:colOff>247650</xdr:colOff>
      <xdr:row>0</xdr:row>
      <xdr:rowOff>0</xdr:rowOff>
    </xdr:from>
    <xdr:to>
      <xdr:col>19</xdr:col>
      <xdr:colOff>427441</xdr:colOff>
      <xdr:row>23</xdr:row>
      <xdr:rowOff>21058</xdr:rowOff>
    </xdr:to>
    <xdr:pic>
      <xdr:nvPicPr>
        <xdr:cNvPr id="7" name="图片 6"/>
        <xdr:cNvPicPr>
          <a:picLocks noChangeAspect="1"/>
        </xdr:cNvPicPr>
      </xdr:nvPicPr>
      <xdr:blipFill>
        <a:blip xmlns:r="http://schemas.openxmlformats.org/officeDocument/2006/relationships" r:embed="rId4"/>
        <a:stretch>
          <a:fillRect/>
        </a:stretch>
      </xdr:blipFill>
      <xdr:spPr>
        <a:xfrm>
          <a:off x="7105650" y="0"/>
          <a:ext cx="6351991" cy="3964408"/>
        </a:xfrm>
        <a:prstGeom prst="rect">
          <a:avLst/>
        </a:prstGeom>
      </xdr:spPr>
    </xdr:pic>
    <xdr:clientData/>
  </xdr:twoCellAnchor>
  <xdr:twoCellAnchor editAs="oneCell">
    <xdr:from>
      <xdr:col>10</xdr:col>
      <xdr:colOff>131106</xdr:colOff>
      <xdr:row>33</xdr:row>
      <xdr:rowOff>85725</xdr:rowOff>
    </xdr:from>
    <xdr:to>
      <xdr:col>19</xdr:col>
      <xdr:colOff>294102</xdr:colOff>
      <xdr:row>52</xdr:row>
      <xdr:rowOff>85725</xdr:rowOff>
    </xdr:to>
    <xdr:pic>
      <xdr:nvPicPr>
        <xdr:cNvPr id="9" name="图片 8"/>
        <xdr:cNvPicPr>
          <a:picLocks noChangeAspect="1"/>
        </xdr:cNvPicPr>
      </xdr:nvPicPr>
      <xdr:blipFill>
        <a:blip xmlns:r="http://schemas.openxmlformats.org/officeDocument/2006/relationships" r:embed="rId5"/>
        <a:stretch>
          <a:fillRect/>
        </a:stretch>
      </xdr:blipFill>
      <xdr:spPr>
        <a:xfrm>
          <a:off x="6989106" y="5743575"/>
          <a:ext cx="6335196" cy="3257550"/>
        </a:xfrm>
        <a:prstGeom prst="rect">
          <a:avLst/>
        </a:prstGeom>
      </xdr:spPr>
    </xdr:pic>
    <xdr:clientData/>
  </xdr:twoCellAnchor>
  <xdr:twoCellAnchor editAs="oneCell">
    <xdr:from>
      <xdr:col>9</xdr:col>
      <xdr:colOff>667968</xdr:colOff>
      <xdr:row>50</xdr:row>
      <xdr:rowOff>142875</xdr:rowOff>
    </xdr:from>
    <xdr:to>
      <xdr:col>20</xdr:col>
      <xdr:colOff>103613</xdr:colOff>
      <xdr:row>65</xdr:row>
      <xdr:rowOff>114300</xdr:rowOff>
    </xdr:to>
    <xdr:pic>
      <xdr:nvPicPr>
        <xdr:cNvPr id="10" name="图片 9"/>
        <xdr:cNvPicPr>
          <a:picLocks noChangeAspect="1"/>
        </xdr:cNvPicPr>
      </xdr:nvPicPr>
      <xdr:blipFill>
        <a:blip xmlns:r="http://schemas.openxmlformats.org/officeDocument/2006/relationships" r:embed="rId6"/>
        <a:stretch>
          <a:fillRect/>
        </a:stretch>
      </xdr:blipFill>
      <xdr:spPr>
        <a:xfrm>
          <a:off x="6840168" y="8715375"/>
          <a:ext cx="6979445" cy="2543175"/>
        </a:xfrm>
        <a:prstGeom prst="rect">
          <a:avLst/>
        </a:prstGeom>
      </xdr:spPr>
    </xdr:pic>
    <xdr:clientData/>
  </xdr:twoCellAnchor>
  <xdr:twoCellAnchor editAs="oneCell">
    <xdr:from>
      <xdr:col>0</xdr:col>
      <xdr:colOff>0</xdr:colOff>
      <xdr:row>43</xdr:row>
      <xdr:rowOff>1</xdr:rowOff>
    </xdr:from>
    <xdr:to>
      <xdr:col>9</xdr:col>
      <xdr:colOff>657225</xdr:colOff>
      <xdr:row>62</xdr:row>
      <xdr:rowOff>119937</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7372351"/>
          <a:ext cx="6829425" cy="3377486"/>
        </a:xfrm>
        <a:prstGeom prst="rect">
          <a:avLst/>
        </a:prstGeom>
      </xdr:spPr>
    </xdr:pic>
    <xdr:clientData/>
  </xdr:twoCellAnchor>
  <xdr:twoCellAnchor editAs="oneCell">
    <xdr:from>
      <xdr:col>10</xdr:col>
      <xdr:colOff>447675</xdr:colOff>
      <xdr:row>23</xdr:row>
      <xdr:rowOff>109039</xdr:rowOff>
    </xdr:from>
    <xdr:to>
      <xdr:col>19</xdr:col>
      <xdr:colOff>247650</xdr:colOff>
      <xdr:row>29</xdr:row>
      <xdr:rowOff>47442</xdr:rowOff>
    </xdr:to>
    <xdr:pic>
      <xdr:nvPicPr>
        <xdr:cNvPr id="12" name="图片 11"/>
        <xdr:cNvPicPr>
          <a:picLocks noChangeAspect="1"/>
        </xdr:cNvPicPr>
      </xdr:nvPicPr>
      <xdr:blipFill>
        <a:blip xmlns:r="http://schemas.openxmlformats.org/officeDocument/2006/relationships" r:embed="rId8"/>
        <a:stretch>
          <a:fillRect/>
        </a:stretch>
      </xdr:blipFill>
      <xdr:spPr>
        <a:xfrm>
          <a:off x="7305675" y="4052389"/>
          <a:ext cx="5972175" cy="967103"/>
        </a:xfrm>
        <a:prstGeom prst="rect">
          <a:avLst/>
        </a:prstGeom>
      </xdr:spPr>
    </xdr:pic>
    <xdr:clientData/>
  </xdr:twoCellAnchor>
  <xdr:twoCellAnchor editAs="oneCell">
    <xdr:from>
      <xdr:col>10</xdr:col>
      <xdr:colOff>533400</xdr:colOff>
      <xdr:row>28</xdr:row>
      <xdr:rowOff>96475</xdr:rowOff>
    </xdr:from>
    <xdr:to>
      <xdr:col>19</xdr:col>
      <xdr:colOff>352215</xdr:colOff>
      <xdr:row>34</xdr:row>
      <xdr:rowOff>47438</xdr:rowOff>
    </xdr:to>
    <xdr:pic>
      <xdr:nvPicPr>
        <xdr:cNvPr id="13" name="图片 12"/>
        <xdr:cNvPicPr>
          <a:picLocks noChangeAspect="1"/>
        </xdr:cNvPicPr>
      </xdr:nvPicPr>
      <xdr:blipFill>
        <a:blip xmlns:r="http://schemas.openxmlformats.org/officeDocument/2006/relationships" r:embed="rId9"/>
        <a:stretch>
          <a:fillRect/>
        </a:stretch>
      </xdr:blipFill>
      <xdr:spPr>
        <a:xfrm>
          <a:off x="7391400" y="4897075"/>
          <a:ext cx="5991015" cy="979663"/>
        </a:xfrm>
        <a:prstGeom prst="rect">
          <a:avLst/>
        </a:prstGeom>
      </xdr:spPr>
    </xdr:pic>
    <xdr:clientData/>
  </xdr:twoCellAnchor>
  <xdr:twoCellAnchor editAs="oneCell">
    <xdr:from>
      <xdr:col>20</xdr:col>
      <xdr:colOff>0</xdr:colOff>
      <xdr:row>0</xdr:row>
      <xdr:rowOff>0</xdr:rowOff>
    </xdr:from>
    <xdr:to>
      <xdr:col>28</xdr:col>
      <xdr:colOff>152400</xdr:colOff>
      <xdr:row>17</xdr:row>
      <xdr:rowOff>18131</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3716000" y="0"/>
          <a:ext cx="5638800" cy="2932781"/>
        </a:xfrm>
        <a:prstGeom prst="rect">
          <a:avLst/>
        </a:prstGeom>
      </xdr:spPr>
    </xdr:pic>
    <xdr:clientData/>
  </xdr:twoCellAnchor>
  <xdr:twoCellAnchor editAs="oneCell">
    <xdr:from>
      <xdr:col>20</xdr:col>
      <xdr:colOff>0</xdr:colOff>
      <xdr:row>16</xdr:row>
      <xdr:rowOff>9525</xdr:rowOff>
    </xdr:from>
    <xdr:to>
      <xdr:col>24</xdr:col>
      <xdr:colOff>516952</xdr:colOff>
      <xdr:row>29</xdr:row>
      <xdr:rowOff>66287</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3716000" y="2752725"/>
          <a:ext cx="3260152" cy="2285612"/>
        </a:xfrm>
        <a:prstGeom prst="rect">
          <a:avLst/>
        </a:prstGeom>
      </xdr:spPr>
    </xdr:pic>
    <xdr:clientData/>
  </xdr:twoCellAnchor>
  <xdr:twoCellAnchor editAs="oneCell">
    <xdr:from>
      <xdr:col>20</xdr:col>
      <xdr:colOff>0</xdr:colOff>
      <xdr:row>30</xdr:row>
      <xdr:rowOff>0</xdr:rowOff>
    </xdr:from>
    <xdr:to>
      <xdr:col>28</xdr:col>
      <xdr:colOff>291342</xdr:colOff>
      <xdr:row>48</xdr:row>
      <xdr:rowOff>95250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3716000" y="5143500"/>
          <a:ext cx="5777742" cy="3181350"/>
        </a:xfrm>
        <a:prstGeom prst="rect">
          <a:avLst/>
        </a:prstGeom>
      </xdr:spPr>
    </xdr:pic>
    <xdr:clientData/>
  </xdr:twoCellAnchor>
  <xdr:twoCellAnchor editAs="oneCell">
    <xdr:from>
      <xdr:col>20</xdr:col>
      <xdr:colOff>0</xdr:colOff>
      <xdr:row>47</xdr:row>
      <xdr:rowOff>33953</xdr:rowOff>
    </xdr:from>
    <xdr:to>
      <xdr:col>24</xdr:col>
      <xdr:colOff>266700</xdr:colOff>
      <xdr:row>58</xdr:row>
      <xdr:rowOff>75831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13716000" y="8092103"/>
          <a:ext cx="3009900" cy="1927828"/>
        </a:xfrm>
        <a:prstGeom prst="rect">
          <a:avLst/>
        </a:prstGeom>
      </xdr:spPr>
    </xdr:pic>
    <xdr:clientData/>
  </xdr:twoCellAnchor>
  <xdr:twoCellAnchor editAs="oneCell">
    <xdr:from>
      <xdr:col>20</xdr:col>
      <xdr:colOff>0</xdr:colOff>
      <xdr:row>59</xdr:row>
      <xdr:rowOff>0</xdr:rowOff>
    </xdr:from>
    <xdr:to>
      <xdr:col>29</xdr:col>
      <xdr:colOff>38100</xdr:colOff>
      <xdr:row>77</xdr:row>
      <xdr:rowOff>74106</xdr:rowOff>
    </xdr:to>
    <xdr:pic>
      <xdr:nvPicPr>
        <xdr:cNvPr id="18" name="图片 17"/>
        <xdr:cNvPicPr>
          <a:picLocks noChangeAspect="1"/>
        </xdr:cNvPicPr>
      </xdr:nvPicPr>
      <xdr:blipFill>
        <a:blip xmlns:r="http://schemas.openxmlformats.org/officeDocument/2006/relationships" r:embed="rId14"/>
        <a:stretch>
          <a:fillRect/>
        </a:stretch>
      </xdr:blipFill>
      <xdr:spPr>
        <a:xfrm>
          <a:off x="13716000" y="10115550"/>
          <a:ext cx="6210300" cy="3160206"/>
        </a:xfrm>
        <a:prstGeom prst="rect">
          <a:avLst/>
        </a:prstGeom>
      </xdr:spPr>
    </xdr:pic>
    <xdr:clientData/>
  </xdr:twoCellAnchor>
  <xdr:twoCellAnchor editAs="oneCell">
    <xdr:from>
      <xdr:col>20</xdr:col>
      <xdr:colOff>0</xdr:colOff>
      <xdr:row>76</xdr:row>
      <xdr:rowOff>85724</xdr:rowOff>
    </xdr:from>
    <xdr:to>
      <xdr:col>24</xdr:col>
      <xdr:colOff>528156</xdr:colOff>
      <xdr:row>88</xdr:row>
      <xdr:rowOff>161534</xdr:rowOff>
    </xdr:to>
    <xdr:pic>
      <xdr:nvPicPr>
        <xdr:cNvPr id="19" name="图片 18"/>
        <xdr:cNvPicPr>
          <a:picLocks noChangeAspect="1"/>
        </xdr:cNvPicPr>
      </xdr:nvPicPr>
      <xdr:blipFill>
        <a:blip xmlns:r="http://schemas.openxmlformats.org/officeDocument/2006/relationships" r:embed="rId15"/>
        <a:stretch>
          <a:fillRect/>
        </a:stretch>
      </xdr:blipFill>
      <xdr:spPr>
        <a:xfrm>
          <a:off x="13716000" y="13115924"/>
          <a:ext cx="3271356" cy="2133210"/>
        </a:xfrm>
        <a:prstGeom prst="rect">
          <a:avLst/>
        </a:prstGeom>
      </xdr:spPr>
    </xdr:pic>
    <xdr:clientData/>
  </xdr:twoCellAnchor>
  <xdr:twoCellAnchor editAs="oneCell">
    <xdr:from>
      <xdr:col>0</xdr:col>
      <xdr:colOff>0</xdr:colOff>
      <xdr:row>72</xdr:row>
      <xdr:rowOff>38100</xdr:rowOff>
    </xdr:from>
    <xdr:to>
      <xdr:col>11</xdr:col>
      <xdr:colOff>295383</xdr:colOff>
      <xdr:row>92</xdr:row>
      <xdr:rowOff>37490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12382500"/>
          <a:ext cx="7839183" cy="3428390"/>
        </a:xfrm>
        <a:prstGeom prst="rect">
          <a:avLst/>
        </a:prstGeom>
      </xdr:spPr>
    </xdr:pic>
    <xdr:clientData/>
  </xdr:twoCellAnchor>
  <xdr:twoCellAnchor editAs="oneCell">
    <xdr:from>
      <xdr:col>0</xdr:col>
      <xdr:colOff>0</xdr:colOff>
      <xdr:row>93</xdr:row>
      <xdr:rowOff>38100</xdr:rowOff>
    </xdr:from>
    <xdr:to>
      <xdr:col>8</xdr:col>
      <xdr:colOff>37410</xdr:colOff>
      <xdr:row>106</xdr:row>
      <xdr:rowOff>123536</xdr:rowOff>
    </xdr:to>
    <xdr:pic>
      <xdr:nvPicPr>
        <xdr:cNvPr id="5" name="图片 4"/>
        <xdr:cNvPicPr>
          <a:picLocks noChangeAspect="1"/>
        </xdr:cNvPicPr>
      </xdr:nvPicPr>
      <xdr:blipFill>
        <a:blip xmlns:r="http://schemas.openxmlformats.org/officeDocument/2006/relationships" r:embed="rId17"/>
        <a:stretch>
          <a:fillRect/>
        </a:stretch>
      </xdr:blipFill>
      <xdr:spPr>
        <a:xfrm>
          <a:off x="0" y="15982950"/>
          <a:ext cx="5523810" cy="2314286"/>
        </a:xfrm>
        <a:prstGeom prst="rect">
          <a:avLst/>
        </a:prstGeom>
      </xdr:spPr>
    </xdr:pic>
    <xdr:clientData/>
  </xdr:twoCellAnchor>
  <xdr:twoCellAnchor editAs="oneCell">
    <xdr:from>
      <xdr:col>0</xdr:col>
      <xdr:colOff>0</xdr:colOff>
      <xdr:row>129</xdr:row>
      <xdr:rowOff>0</xdr:rowOff>
    </xdr:from>
    <xdr:to>
      <xdr:col>8</xdr:col>
      <xdr:colOff>304077</xdr:colOff>
      <xdr:row>143</xdr:row>
      <xdr:rowOff>104462</xdr:rowOff>
    </xdr:to>
    <xdr:pic>
      <xdr:nvPicPr>
        <xdr:cNvPr id="6" name="图片 5"/>
        <xdr:cNvPicPr>
          <a:picLocks noChangeAspect="1"/>
        </xdr:cNvPicPr>
      </xdr:nvPicPr>
      <xdr:blipFill>
        <a:blip xmlns:r="http://schemas.openxmlformats.org/officeDocument/2006/relationships" r:embed="rId18"/>
        <a:stretch>
          <a:fillRect/>
        </a:stretch>
      </xdr:blipFill>
      <xdr:spPr>
        <a:xfrm>
          <a:off x="0" y="22117050"/>
          <a:ext cx="5790477" cy="2504762"/>
        </a:xfrm>
        <a:prstGeom prst="rect">
          <a:avLst/>
        </a:prstGeom>
      </xdr:spPr>
    </xdr:pic>
    <xdr:clientData/>
  </xdr:twoCellAnchor>
  <xdr:twoCellAnchor editAs="oneCell">
    <xdr:from>
      <xdr:col>0</xdr:col>
      <xdr:colOff>0</xdr:colOff>
      <xdr:row>107</xdr:row>
      <xdr:rowOff>9525</xdr:rowOff>
    </xdr:from>
    <xdr:to>
      <xdr:col>11</xdr:col>
      <xdr:colOff>510803</xdr:colOff>
      <xdr:row>129</xdr:row>
      <xdr:rowOff>142231</xdr:rowOff>
    </xdr:to>
    <xdr:pic>
      <xdr:nvPicPr>
        <xdr:cNvPr id="22" name="图片 21"/>
        <xdr:cNvPicPr>
          <a:picLocks noChangeAspect="1"/>
        </xdr:cNvPicPr>
      </xdr:nvPicPr>
      <xdr:blipFill>
        <a:blip xmlns:r="http://schemas.openxmlformats.org/officeDocument/2006/relationships" r:embed="rId19"/>
        <a:stretch>
          <a:fillRect/>
        </a:stretch>
      </xdr:blipFill>
      <xdr:spPr>
        <a:xfrm>
          <a:off x="0" y="18354675"/>
          <a:ext cx="8054603" cy="3904606"/>
        </a:xfrm>
        <a:prstGeom prst="rect">
          <a:avLst/>
        </a:prstGeom>
      </xdr:spPr>
    </xdr:pic>
    <xdr:clientData/>
  </xdr:twoCellAnchor>
  <xdr:twoCellAnchor editAs="oneCell">
    <xdr:from>
      <xdr:col>0</xdr:col>
      <xdr:colOff>0</xdr:colOff>
      <xdr:row>143</xdr:row>
      <xdr:rowOff>121166</xdr:rowOff>
    </xdr:from>
    <xdr:to>
      <xdr:col>9</xdr:col>
      <xdr:colOff>93844</xdr:colOff>
      <xdr:row>160</xdr:row>
      <xdr:rowOff>85079</xdr:rowOff>
    </xdr:to>
    <xdr:pic>
      <xdr:nvPicPr>
        <xdr:cNvPr id="8" name="图片 7"/>
        <xdr:cNvPicPr>
          <a:picLocks noChangeAspect="1"/>
        </xdr:cNvPicPr>
      </xdr:nvPicPr>
      <xdr:blipFill>
        <a:blip xmlns:r="http://schemas.openxmlformats.org/officeDocument/2006/relationships" r:embed="rId20"/>
        <a:stretch>
          <a:fillRect/>
        </a:stretch>
      </xdr:blipFill>
      <xdr:spPr>
        <a:xfrm>
          <a:off x="0" y="24638516"/>
          <a:ext cx="6266044" cy="2878563"/>
        </a:xfrm>
        <a:prstGeom prst="rect">
          <a:avLst/>
        </a:prstGeom>
      </xdr:spPr>
    </xdr:pic>
    <xdr:clientData/>
  </xdr:twoCellAnchor>
  <xdr:twoCellAnchor editAs="oneCell">
    <xdr:from>
      <xdr:col>0</xdr:col>
      <xdr:colOff>0</xdr:colOff>
      <xdr:row>162</xdr:row>
      <xdr:rowOff>0</xdr:rowOff>
    </xdr:from>
    <xdr:to>
      <xdr:col>9</xdr:col>
      <xdr:colOff>8753</xdr:colOff>
      <xdr:row>178</xdr:row>
      <xdr:rowOff>28229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27774900"/>
          <a:ext cx="6180953"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1935</v>
      </c>
      <c r="B1" s="2370" t="s">
        <v>2032</v>
      </c>
    </row>
    <row r="2" spans="1:55" s="2374" customFormat="1" ht="15" thickTop="1">
      <c r="A2" s="2372" t="s">
        <v>1939</v>
      </c>
      <c r="B2" s="2373" t="str">
        <f>'预评函-封皮'!B37</f>
        <v>海南省三亚市吉阳区抱坡村住宅、商业用地出让国有建设用地使用权抵押价格预评估</v>
      </c>
      <c r="AX2" s="2375"/>
      <c r="AZ2" s="2375"/>
      <c r="BA2" s="2376"/>
      <c r="BC2" s="2376"/>
    </row>
    <row r="3" spans="1:55" s="2377" customFormat="1">
      <c r="A3" s="2356" t="s">
        <v>1940</v>
      </c>
      <c r="B3" s="2359">
        <f>'预评函-封皮'!B40</f>
        <v>0</v>
      </c>
    </row>
    <row r="4" spans="1:55" s="2358" customFormat="1">
      <c r="A4" s="2356" t="s">
        <v>1941</v>
      </c>
      <c r="B4" s="2357" t="str">
        <f>'预评函-封皮'!B46</f>
        <v>吴薇、郑燚</v>
      </c>
      <c r="N4" s="2358" t="str">
        <f>'预评函-1'!A28</f>
        <v/>
      </c>
    </row>
    <row r="5" spans="1:55" s="2371" customFormat="1" ht="15" thickBot="1">
      <c r="A5" s="2378" t="s">
        <v>1942</v>
      </c>
      <c r="B5" s="2379" t="str">
        <f>'预评函-封皮'!B49</f>
        <v>康正预评字号</v>
      </c>
    </row>
    <row r="6" spans="1:55" s="2380" customFormat="1" ht="15" thickTop="1">
      <c r="A6" s="2372" t="s">
        <v>1984</v>
      </c>
      <c r="B6" s="2373" t="str">
        <f>'预评函-1'!A4</f>
        <v>受贵公司委托，我公司对海南省三亚市吉阳区抱坡村住宅、商业用地出让国有建设用地使用权抵押价格进行了预评估。</v>
      </c>
      <c r="AM6" s="2381"/>
    </row>
    <row r="7" spans="1:55" s="2355" customFormat="1">
      <c r="A7" s="2356" t="s">
        <v>1936</v>
      </c>
      <c r="B7" s="2357" t="str">
        <f>'预评函-1'!A6</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8" spans="1:55" s="2355" customFormat="1">
      <c r="A8" s="2356" t="s">
        <v>1937</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1987</v>
      </c>
      <c r="B9" s="2357" t="str">
        <f>'预评函-1'!A9</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1938</v>
      </c>
      <c r="B10" s="2357" t="str">
        <f>'预评函-1'!A11</f>
        <v>2023年4月18日（评估专业人员勘察现场之日）</v>
      </c>
    </row>
    <row r="11" spans="1:55" s="2355" customFormat="1">
      <c r="A11" s="2356" t="s">
        <v>1944</v>
      </c>
      <c r="B11" s="2357" t="str">
        <f>'预评函-1'!A14</f>
        <v>根据《国有土地使用证》[]，本次评估估价对象证载（地类）用途为。</v>
      </c>
    </row>
    <row r="12" spans="1:55" s="2355" customFormat="1">
      <c r="A12" s="2356" t="s">
        <v>1945</v>
      </c>
      <c r="B12" s="2357" t="str">
        <f>'预评函-1'!A15</f>
        <v>本次评估设定用途即为证载用途。</v>
      </c>
    </row>
    <row r="13" spans="1:55" s="2355" customFormat="1">
      <c r="A13" s="2356" t="s">
        <v>1946</v>
      </c>
      <c r="B13" s="2357" t="str">
        <f>'预评函-1'!A17</f>
        <v>根据委托估价方介绍及评估专业人员现场勘查，本次评估估价对象实际土地开发程度为红线外市政基础设施达“六通”（即通路、通电、通上水、通下水、通讯、燃气）、宗地红线内已开工建设。。</v>
      </c>
    </row>
    <row r="14" spans="1:55" s="2355" customFormat="1">
      <c r="A14" s="2356" t="s">
        <v>1947</v>
      </c>
      <c r="B14" s="2357"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355" customFormat="1">
      <c r="A15" s="2356" t="s">
        <v>1943</v>
      </c>
      <c r="B15" s="2357" t="str">
        <f>'预评函-1'!A20</f>
        <v>根据《国有土地使用证》[]，估价对象（分摊）出让国有建设用地使用权面积为39137.98平方米。根据《建设工程规划许可证》[]、《出让合同》[]，估价对象规划建筑面积为127861.33平方米。</v>
      </c>
    </row>
    <row r="16" spans="1:55" s="2355" customFormat="1">
      <c r="A16" s="2356" t="s">
        <v>1948</v>
      </c>
      <c r="B16" s="2357" t="str">
        <f>'预评函-1'!A22</f>
        <v>本次估价对象为出让国有建设用地使用权，《国有土地使用证》[]证载土地终止日期为商业2060年3月11日、办公2070年3月11日、车库2070年3月11日。截至估价期日，出让国有建设用地使用权剩余土地使用年限为。</v>
      </c>
    </row>
    <row r="17" spans="1:48" s="2355" customFormat="1">
      <c r="A17" s="2356" t="s">
        <v>1949</v>
      </c>
      <c r="B17" s="2357" t="str">
        <f>'预评函-1'!A23</f>
        <v>本次评估设定估价对象剩余土地使用年限为。</v>
      </c>
    </row>
    <row r="18" spans="1:48" s="2355" customFormat="1">
      <c r="A18" s="2356" t="s">
        <v>1950</v>
      </c>
      <c r="B18" s="2357" t="str">
        <f>'预评函-1'!A25</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19" spans="1:48" s="2355" customFormat="1">
      <c r="A19" s="2356" t="s">
        <v>1951</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1952</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1953</v>
      </c>
      <c r="B21" s="2379" t="str">
        <f>'预评函-1'!A28</f>
        <v/>
      </c>
    </row>
    <row r="22" spans="1:48" ht="15" thickTop="1">
      <c r="A22" s="2367" t="s">
        <v>1954</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1955</v>
      </c>
      <c r="B23" s="2357" t="str">
        <f>'预评函-2'!K2</f>
        <v>估价期日：2023年4月18日</v>
      </c>
    </row>
    <row r="24" spans="1:48">
      <c r="A24" s="2356" t="s">
        <v>1956</v>
      </c>
      <c r="B24" s="2357" t="str">
        <f>'预评函-2'!R2</f>
        <v>估价期日的国有建设用地使用权性质：出让</v>
      </c>
    </row>
    <row r="25" spans="1:48">
      <c r="A25" s="2356" t="s">
        <v>2012</v>
      </c>
      <c r="B25" s="2357" t="str">
        <f>'预评函-2'!A3</f>
        <v>估价期日土地使用者</v>
      </c>
    </row>
    <row r="26" spans="1:48">
      <c r="A26" s="2356" t="s">
        <v>1988</v>
      </c>
      <c r="B26" s="2357" t="str">
        <f>'预评函-2'!A5</f>
        <v>中信开发</v>
      </c>
    </row>
    <row r="27" spans="1:48">
      <c r="A27" s="2356" t="s">
        <v>2013</v>
      </c>
      <c r="B27" s="2357" t="str">
        <f>'预评函-2'!B3</f>
        <v>宗地编号/不动产单元号</v>
      </c>
    </row>
    <row r="28" spans="1:48">
      <c r="A28" s="2356" t="s">
        <v>1989</v>
      </c>
      <c r="B28" s="2357" t="str">
        <f>'预评函-2'!B5</f>
        <v>11111111111</v>
      </c>
    </row>
    <row r="29" spans="1:48">
      <c r="A29" s="2356" t="s">
        <v>2015</v>
      </c>
      <c r="B29" s="2357">
        <f>'预评函-2'!C5</f>
        <v>22</v>
      </c>
    </row>
    <row r="30" spans="1:48">
      <c r="A30" s="2356" t="s">
        <v>2016</v>
      </c>
      <c r="B30" s="2357" t="str">
        <f>'预评函-2'!D3</f>
        <v>土地使用证编号/不动产权证书编号</v>
      </c>
    </row>
    <row r="31" spans="1:48">
      <c r="A31" s="2356" t="s">
        <v>1990</v>
      </c>
      <c r="B31" s="2357" t="str">
        <f>'预评函-2'!D5</f>
        <v>京国土字第111号</v>
      </c>
    </row>
    <row r="32" spans="1:48">
      <c r="A32" s="2356" t="s">
        <v>1991</v>
      </c>
      <c r="B32" s="2357">
        <f>'预评函-2'!E5</f>
        <v>0</v>
      </c>
      <c r="AV32" s="2361"/>
    </row>
    <row r="33" spans="1:2">
      <c r="A33" s="2356" t="s">
        <v>1992</v>
      </c>
      <c r="B33" s="2357">
        <f>'预评函-2'!F5</f>
        <v>258</v>
      </c>
    </row>
    <row r="34" spans="1:2">
      <c r="A34" s="2356" t="s">
        <v>1993</v>
      </c>
      <c r="B34" s="2357">
        <f>'预评函-2'!G5</f>
        <v>0</v>
      </c>
    </row>
    <row r="35" spans="1:2">
      <c r="A35" s="2356" t="s">
        <v>1994</v>
      </c>
      <c r="B35" s="2357">
        <f>'预评函-2'!H5</f>
        <v>1.5</v>
      </c>
    </row>
    <row r="36" spans="1:2">
      <c r="A36" s="2356" t="s">
        <v>1995</v>
      </c>
      <c r="B36" s="2357">
        <f>'预评函-2'!I5</f>
        <v>1.5</v>
      </c>
    </row>
    <row r="37" spans="1:2">
      <c r="A37" s="2356" t="s">
        <v>1996</v>
      </c>
      <c r="B37" s="2357">
        <f>'预评函-2'!J5</f>
        <v>1.5</v>
      </c>
    </row>
    <row r="38" spans="1:2">
      <c r="A38" s="2356" t="s">
        <v>1997</v>
      </c>
      <c r="B38" s="2357" t="str">
        <f>'预评函-2'!K5</f>
        <v>红线外六通、宗地红线内宗地内已开工建设</v>
      </c>
    </row>
    <row r="39" spans="1:2">
      <c r="A39" s="2356" t="s">
        <v>1998</v>
      </c>
      <c r="B39" s="2357" t="str">
        <f>'预评函-2'!L5</f>
        <v>红线外六通、宗地红线内场地平整</v>
      </c>
    </row>
    <row r="40" spans="1:2">
      <c r="A40" s="2356" t="s">
        <v>2017</v>
      </c>
      <c r="B40" s="2357" t="str">
        <f>'预评函-2'!M3</f>
        <v>（剩余）土地使用年限/年</v>
      </c>
    </row>
    <row r="41" spans="1:2">
      <c r="A41" s="2356" t="s">
        <v>1999</v>
      </c>
      <c r="B41" s="2357">
        <f>'预评函-2'!M5</f>
        <v>0</v>
      </c>
    </row>
    <row r="42" spans="1:2">
      <c r="A42" s="2356" t="s">
        <v>2018</v>
      </c>
      <c r="B42" s="2357" t="str">
        <f>'预评函-2'!N3</f>
        <v>（分摊）出让国有建设用地使用权面积/㎡</v>
      </c>
    </row>
    <row r="43" spans="1:2">
      <c r="A43" s="2356" t="s">
        <v>2000</v>
      </c>
      <c r="B43" s="2357">
        <f>'预评函-2'!N5</f>
        <v>39137.980000000003</v>
      </c>
    </row>
    <row r="44" spans="1:2">
      <c r="A44" s="2356" t="s">
        <v>2019</v>
      </c>
      <c r="B44" s="2357" t="str">
        <f>'预评函-2'!O3</f>
        <v>规划建筑面积/㎡</v>
      </c>
    </row>
    <row r="45" spans="1:2">
      <c r="A45" s="2356" t="s">
        <v>2001</v>
      </c>
      <c r="B45" s="2357">
        <f>'预评函-2'!O5</f>
        <v>127861.33</v>
      </c>
    </row>
    <row r="46" spans="1:2">
      <c r="A46" s="2356" t="s">
        <v>2002</v>
      </c>
      <c r="B46" s="2357">
        <f ca="1">'预评函-2'!P5</f>
        <v>25641</v>
      </c>
    </row>
    <row r="47" spans="1:2">
      <c r="A47" s="2356" t="s">
        <v>2003</v>
      </c>
      <c r="B47" s="2357">
        <f ca="1">'预评函-2'!Q5</f>
        <v>7849</v>
      </c>
    </row>
    <row r="48" spans="1:2">
      <c r="A48" s="2356" t="s">
        <v>2004</v>
      </c>
      <c r="B48" s="2357">
        <f ca="1">'预评函-2'!R5</f>
        <v>100354</v>
      </c>
    </row>
    <row r="49" spans="1:2">
      <c r="A49" s="2356" t="s">
        <v>2020</v>
      </c>
      <c r="B49" s="2357" t="str">
        <f>'预评函-2'!A6</f>
        <v>抵押价格</v>
      </c>
    </row>
    <row r="50" spans="1:2">
      <c r="A50" s="2356" t="s">
        <v>2005</v>
      </c>
      <c r="B50" s="2357">
        <f ca="1">'预评函-2'!R6</f>
        <v>100354</v>
      </c>
    </row>
    <row r="51" spans="1:2">
      <c r="A51" s="2356" t="s">
        <v>2021</v>
      </c>
      <c r="B51" s="2357" t="str">
        <f>'预评函-2'!A7</f>
        <v>——</v>
      </c>
    </row>
    <row r="52" spans="1:2">
      <c r="A52" s="2356" t="s">
        <v>2006</v>
      </c>
      <c r="B52" s="2357" t="str">
        <f>'预评函-2'!R7</f>
        <v>——</v>
      </c>
    </row>
    <row r="53" spans="1:2">
      <c r="A53" s="2356" t="s">
        <v>2022</v>
      </c>
      <c r="B53" s="2357" t="str">
        <f>'预评函-2'!A8</f>
        <v>——</v>
      </c>
    </row>
    <row r="54" spans="1:2" s="2371" customFormat="1" ht="15" thickBot="1">
      <c r="A54" s="2378" t="s">
        <v>2007</v>
      </c>
      <c r="B54" s="2379" t="str">
        <f>'预评函-2'!R8</f>
        <v>——</v>
      </c>
    </row>
    <row r="55" spans="1:2" ht="15" thickTop="1">
      <c r="A55" s="2367" t="s">
        <v>1957</v>
      </c>
      <c r="B55" s="2368" t="str">
        <f>'预评函-3'!A2</f>
        <v>1.权利限制：根据估价对象《不动产权证书》原件、，截至估价期日，估价对象已设定抵押。未设定租赁等其他他项权利。</v>
      </c>
    </row>
    <row r="56" spans="1:2">
      <c r="A56" s="2356" t="s">
        <v>1958</v>
      </c>
      <c r="B56" s="2357" t="str">
        <f>'预评函-3'!A3</f>
        <v>2.基础设施条件：估价对象实际开发程度为红线外六通、宗地红线内宗地内已开工建设；本次评估设定开发程度为红线外六通、宗地红线内场地平整。</v>
      </c>
    </row>
    <row r="57" spans="1:2">
      <c r="A57" s="2356" t="s">
        <v>1959</v>
      </c>
      <c r="B57" s="2357" t="str">
        <f>'预评函-3'!A4</f>
        <v>3.估价规划限制条件：详见《建设工程规划许可证》[]、《出让合同》[]。</v>
      </c>
    </row>
    <row r="58" spans="1:2" s="2371" customFormat="1" ht="15" thickBot="1">
      <c r="A58" s="2378" t="s">
        <v>2008</v>
      </c>
      <c r="B58" s="2379" t="str">
        <f>'预评函-3'!A5</f>
        <v>4.影响价格的其他限定条件：无。</v>
      </c>
    </row>
    <row r="59" spans="1:2" ht="15" thickTop="1">
      <c r="A59" s="2367" t="s">
        <v>1960</v>
      </c>
      <c r="B59" s="2368" t="str">
        <f>'预评函-3'!A8</f>
        <v>2.本《评估意见函》仅供金融机构进行内部审核使用，不做其他目的之用。</v>
      </c>
    </row>
    <row r="60" spans="1:2">
      <c r="A60" s="2356" t="s">
        <v>1961</v>
      </c>
      <c r="B60" s="2357" t="str">
        <f>'预评函-3'!A9</f>
        <v>3.抵押双方在办理抵押登记手续时，应使用本公司出具的正式《土地估价报告》，特提请报告使用者注意。</v>
      </c>
    </row>
    <row r="61" spans="1:2">
      <c r="A61" s="2356" t="s">
        <v>1963</v>
      </c>
      <c r="B61" s="2357" t="str">
        <f>'预评函-3'!A10</f>
        <v>4.估价师所知悉的法定优先受偿款情况为：</v>
      </c>
    </row>
    <row r="62" spans="1:2">
      <c r="A62" s="2356" t="s">
        <v>1962</v>
      </c>
      <c r="B62" s="2357" t="str">
        <f>'预评函-3'!A11</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1964</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1965</v>
      </c>
      <c r="B64" s="2362" t="str">
        <f>'预评函-3'!A13</f>
        <v>（3）。</v>
      </c>
    </row>
    <row r="65" spans="1:2">
      <c r="A65" s="2356" t="s">
        <v>1966</v>
      </c>
      <c r="B65" s="2363" t="str">
        <f>'预评函-3'!A14</f>
        <v>综上，本次评估不存在估价师知悉的法定优先受偿款</v>
      </c>
    </row>
    <row r="66" spans="1:2">
      <c r="A66" s="2356" t="s">
        <v>1967</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1968</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1971</v>
      </c>
      <c r="B68" s="2382">
        <f>'预评函-3'!D30</f>
        <v>42558</v>
      </c>
    </row>
    <row r="69" spans="1:2" ht="15" thickTop="1">
      <c r="A69" s="2367" t="s">
        <v>1969</v>
      </c>
      <c r="B69" s="2368" t="str">
        <f>'预评函-3'!A20</f>
        <v>吴薇</v>
      </c>
    </row>
    <row r="70" spans="1:2">
      <c r="A70" s="2356" t="s">
        <v>1969</v>
      </c>
      <c r="B70" s="2363">
        <f ca="1">'预评函-3'!B20</f>
        <v>2002110125</v>
      </c>
    </row>
    <row r="71" spans="1:2">
      <c r="A71" s="2356" t="s">
        <v>1970</v>
      </c>
      <c r="B71" s="2357" t="str">
        <f>'预评函-3'!A21</f>
        <v>郑燚</v>
      </c>
    </row>
    <row r="72" spans="1:2" s="2371" customFormat="1" ht="15" thickBot="1">
      <c r="A72" s="2378" t="s">
        <v>1970</v>
      </c>
      <c r="B72" s="2384">
        <f ca="1">'预评函-3'!B21</f>
        <v>2014110011</v>
      </c>
    </row>
    <row r="73" spans="1:2" ht="15" thickTop="1">
      <c r="A73" s="2367" t="s">
        <v>2029</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2030</v>
      </c>
      <c r="B74" s="2364" t="str">
        <f>'预评函-1 (储备)'!A18</f>
        <v>由于本次评估估价目的是评估储备国有建设用地使用权的“抵押价格”，因此本次评估设定土地开发程度为红线外市政基础设施达“六通”、宗地红线内场地平整。</v>
      </c>
    </row>
    <row r="75" spans="1:2" s="2371" customFormat="1" ht="15" thickBot="1">
      <c r="A75" s="2378" t="s">
        <v>2031</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2061</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4"/>
  </cols>
  <sheetData>
    <row r="1" spans="1:6">
      <c r="A1" s="3281" t="s">
        <v>2668</v>
      </c>
      <c r="B1" s="3282"/>
      <c r="C1" s="3282"/>
      <c r="D1" s="3282"/>
      <c r="E1" s="3282"/>
      <c r="F1" s="3283"/>
    </row>
    <row r="2" spans="1:6">
      <c r="A2" s="3285"/>
      <c r="B2" s="3286"/>
      <c r="C2" s="3286"/>
      <c r="D2" s="3286"/>
      <c r="E2" s="3286"/>
      <c r="F2" s="3287"/>
    </row>
    <row r="3" spans="1:6">
      <c r="A3" s="3288" t="s">
        <v>2669</v>
      </c>
      <c r="B3" s="3289">
        <f>项目基本情况!D3</f>
        <v>45034</v>
      </c>
      <c r="C3" s="3290"/>
      <c r="D3" s="3290"/>
      <c r="E3" s="3290"/>
      <c r="F3" s="3287"/>
    </row>
    <row r="4" spans="1:6">
      <c r="A4" s="3288" t="s">
        <v>2670</v>
      </c>
      <c r="B4" s="3291" t="s">
        <v>2671</v>
      </c>
      <c r="C4" s="3291" t="s">
        <v>2672</v>
      </c>
      <c r="D4" s="3291" t="s">
        <v>2673</v>
      </c>
      <c r="E4" s="3291" t="s">
        <v>2674</v>
      </c>
      <c r="F4" s="3287"/>
    </row>
    <row r="5" spans="1:6">
      <c r="A5" s="3292"/>
      <c r="B5" s="3289"/>
      <c r="C5" s="3291">
        <f>ROUNDDOWN(MIN((B5-B3)/365,A5),2)</f>
        <v>-123.38</v>
      </c>
      <c r="D5" s="3293">
        <f>IF(ISERROR(ROUND(POWER(1+E5,A5-C5)*(POWER(1+E5,C5)-1)/(POWER(1+E5,A5)-1),3)),0,ROUND(POWER(1+E5,A5-C5)*(POWER(1+E5,C5)-1)/(POWER(1+E5,A5)-1),4))</f>
        <v>0</v>
      </c>
      <c r="E5" s="3294"/>
      <c r="F5" s="3287"/>
    </row>
    <row r="6" spans="1:6">
      <c r="A6" s="3292"/>
      <c r="B6" s="3289"/>
      <c r="C6" s="3291">
        <f>ROUNDDOWN(MIN((B6-B3)/365,A6),2)</f>
        <v>-123.38</v>
      </c>
      <c r="D6" s="3293">
        <f>IF(ISERROR(ROUND(POWER(1+E6,A6-C6)*(POWER(1+E6,C6)-1)/(POWER(1+E6,A6)-1),3)),0,ROUND(POWER(1+E6,A6-C6)*(POWER(1+E6,C6)-1)/(POWER(1+E6,A6)-1),4))</f>
        <v>0</v>
      </c>
      <c r="E6" s="3294"/>
      <c r="F6" s="3287"/>
    </row>
    <row r="7" spans="1:6">
      <c r="A7" s="3292"/>
      <c r="B7" s="3289"/>
      <c r="C7" s="3291">
        <f>ROUNDDOWN(MIN((B7-B3)/365,A7),2)</f>
        <v>-123.38</v>
      </c>
      <c r="D7" s="3293">
        <f>IF(ISERROR(ROUND(POWER(1+E7,A7-C7)*(POWER(1+E7,C7)-1)/(POWER(1+E7,A7)-1),3)),0,ROUND(POWER(1+E7,A7-C7)*(POWER(1+E7,C7)-1)/(POWER(1+E7,A7)-1),4))</f>
        <v>0</v>
      </c>
      <c r="E7" s="3294"/>
      <c r="F7" s="3287"/>
    </row>
    <row r="8" spans="1:6">
      <c r="A8" s="3285"/>
      <c r="B8" s="3286"/>
      <c r="C8" s="3286"/>
      <c r="D8" s="3286"/>
      <c r="E8" s="3286"/>
      <c r="F8" s="3287"/>
    </row>
    <row r="9" spans="1:6">
      <c r="A9" s="3288" t="s">
        <v>2675</v>
      </c>
      <c r="B9" s="3291"/>
      <c r="C9" s="3291"/>
      <c r="D9" s="3291"/>
      <c r="E9" s="3291"/>
      <c r="F9" s="3295"/>
    </row>
    <row r="10" spans="1:6">
      <c r="A10" s="3288" t="s">
        <v>2676</v>
      </c>
      <c r="B10" s="3291"/>
      <c r="C10" s="3291"/>
      <c r="D10" s="3291" t="s">
        <v>2674</v>
      </c>
      <c r="E10" s="3291"/>
      <c r="F10" s="3295" t="s">
        <v>2673</v>
      </c>
    </row>
    <row r="11" spans="1:6">
      <c r="A11" s="3288" t="s">
        <v>2677</v>
      </c>
      <c r="B11" s="3296"/>
      <c r="C11" s="3291" t="s">
        <v>2678</v>
      </c>
      <c r="D11" s="3297"/>
      <c r="E11" s="3291" t="s">
        <v>2679</v>
      </c>
      <c r="F11" s="3298">
        <f>ROUND(1-(1/(POWER(1+D11,B11))),4)</f>
        <v>0</v>
      </c>
    </row>
    <row r="12" spans="1:6">
      <c r="A12" s="3288" t="s">
        <v>2680</v>
      </c>
      <c r="B12" s="3296"/>
      <c r="C12" s="3291" t="s">
        <v>2681</v>
      </c>
      <c r="D12" s="3297"/>
      <c r="E12" s="3291" t="s">
        <v>2682</v>
      </c>
      <c r="F12" s="3298">
        <f>ROUND(1-(1/(POWER(1+D12,B12))),4)</f>
        <v>0</v>
      </c>
    </row>
    <row r="13" spans="1:6">
      <c r="A13" s="3288" t="s">
        <v>2683</v>
      </c>
      <c r="B13" s="3291"/>
      <c r="C13" s="3290"/>
      <c r="D13" s="3286"/>
      <c r="E13" s="3286"/>
      <c r="F13" s="3287"/>
    </row>
    <row r="14" spans="1:6">
      <c r="A14" s="3288" t="s">
        <v>2684</v>
      </c>
      <c r="B14" s="3296"/>
      <c r="C14" s="3290"/>
      <c r="D14" s="3286"/>
      <c r="E14" s="3286"/>
      <c r="F14" s="3287"/>
    </row>
    <row r="15" spans="1:6">
      <c r="A15" s="3288" t="s">
        <v>2685</v>
      </c>
      <c r="B15" s="3291" t="e">
        <f>ROUND(B14*F12/F11,2)</f>
        <v>#DIV/0!</v>
      </c>
      <c r="C15" s="3291" t="e">
        <f>ROUND(F12/F11,4)</f>
        <v>#DIV/0!</v>
      </c>
      <c r="D15" s="3286"/>
      <c r="E15" s="3286"/>
      <c r="F15" s="3287"/>
    </row>
    <row r="16" spans="1:6">
      <c r="A16" s="3288" t="s">
        <v>2686</v>
      </c>
      <c r="B16" s="3291"/>
      <c r="C16" s="3290"/>
      <c r="D16" s="3286"/>
      <c r="E16" s="3286"/>
      <c r="F16" s="3287"/>
    </row>
    <row r="17" spans="1:7">
      <c r="A17" s="3288" t="s">
        <v>2685</v>
      </c>
      <c r="B17" s="3297"/>
      <c r="C17" s="3290"/>
      <c r="D17" s="3286"/>
      <c r="E17" s="3286"/>
      <c r="F17" s="3287"/>
    </row>
    <row r="18" spans="1:7" ht="14.25" thickBot="1">
      <c r="A18" s="3299" t="s">
        <v>2684</v>
      </c>
      <c r="B18" s="3300" t="e">
        <f>ROUND(B17*F11/F12,2)</f>
        <v>#DIV/0!</v>
      </c>
      <c r="C18" s="3300" t="e">
        <f>ROUND(F11/F12,4)</f>
        <v>#DIV/0!</v>
      </c>
      <c r="D18" s="3301"/>
      <c r="E18" s="3301"/>
      <c r="F18" s="3302"/>
    </row>
    <row r="19" spans="1:7" ht="14.25" thickBot="1"/>
    <row r="20" spans="1:7">
      <c r="A20" s="3303" t="s">
        <v>2687</v>
      </c>
      <c r="B20" s="3304"/>
      <c r="C20" s="3304"/>
      <c r="D20" s="3304"/>
      <c r="E20" s="3304"/>
      <c r="F20" s="3304"/>
      <c r="G20" s="3305"/>
    </row>
    <row r="21" spans="1:7">
      <c r="A21" s="3306"/>
      <c r="B21" s="3307" t="s">
        <v>2688</v>
      </c>
      <c r="C21" s="3307" t="s">
        <v>2689</v>
      </c>
      <c r="D21" s="3307" t="s">
        <v>2690</v>
      </c>
      <c r="E21" s="3307" t="s">
        <v>2691</v>
      </c>
      <c r="F21" s="3307" t="s">
        <v>2692</v>
      </c>
      <c r="G21" s="3308" t="s">
        <v>2693</v>
      </c>
    </row>
    <row r="22" spans="1:7">
      <c r="A22" s="3306" t="s">
        <v>2694</v>
      </c>
      <c r="B22" s="3309">
        <v>50</v>
      </c>
      <c r="C22" s="3309">
        <v>32</v>
      </c>
      <c r="D22" s="3310">
        <v>0.05</v>
      </c>
      <c r="E22" s="3307">
        <f>ROUND(POWER(1+D22,B22-C22)*(POWER(1+D22,C22)-1)/(POWER(1+D22,B22)-1),3)</f>
        <v>0.86599999999999999</v>
      </c>
      <c r="F22" s="3310">
        <v>0.6</v>
      </c>
      <c r="G22" s="3308">
        <f>ROUND(100*(1-(1-E22)*F22),1)</f>
        <v>92</v>
      </c>
    </row>
    <row r="23" spans="1:7">
      <c r="A23" s="3311" t="s">
        <v>2695</v>
      </c>
      <c r="B23" s="3309">
        <v>50</v>
      </c>
      <c r="C23" s="3309">
        <v>35</v>
      </c>
      <c r="D23" s="3310">
        <v>0.05</v>
      </c>
      <c r="E23" s="3307">
        <f>ROUND(POWER(1+D23,B23-C23)*(POWER(1+D23,C23)-1)/(POWER(1+D23,B23)-1),3)</f>
        <v>0.89700000000000002</v>
      </c>
      <c r="F23" s="3310">
        <f>F22</f>
        <v>0.6</v>
      </c>
      <c r="G23" s="3308">
        <f>ROUND(100*(1-(1-E23)*F23),1)</f>
        <v>93.8</v>
      </c>
    </row>
    <row r="24" spans="1:7">
      <c r="A24" s="3311" t="s">
        <v>2696</v>
      </c>
      <c r="B24" s="3309">
        <v>50</v>
      </c>
      <c r="C24" s="3309">
        <v>25</v>
      </c>
      <c r="D24" s="3310">
        <v>0.05</v>
      </c>
      <c r="E24" s="3307">
        <f>ROUND(POWER(1+D24,B24-C24)*(POWER(1+D24,C24)-1)/(POWER(1+D24,B24)-1),3)</f>
        <v>0.77200000000000002</v>
      </c>
      <c r="F24" s="3310">
        <f>F23</f>
        <v>0.6</v>
      </c>
      <c r="G24" s="3308">
        <f>ROUND(100*(1-(1-E24)*F24),1)</f>
        <v>86.3</v>
      </c>
    </row>
    <row r="25" spans="1:7">
      <c r="A25" s="3311" t="s">
        <v>2697</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2698</v>
      </c>
      <c r="B27" s="3316"/>
      <c r="C27" s="3316"/>
      <c r="D27" s="3316"/>
      <c r="E27" s="3316"/>
      <c r="F27" s="3316"/>
      <c r="G27" s="3317"/>
    </row>
    <row r="28" spans="1:7">
      <c r="A28" s="3315" t="s">
        <v>2699</v>
      </c>
      <c r="B28" s="3316"/>
      <c r="C28" s="3316"/>
      <c r="D28" s="3316"/>
      <c r="E28" s="3316"/>
      <c r="F28" s="3316"/>
      <c r="G28" s="3317"/>
    </row>
    <row r="29" spans="1:7">
      <c r="A29" s="3315" t="s">
        <v>2700</v>
      </c>
      <c r="B29" s="3316"/>
      <c r="C29" s="3316"/>
      <c r="D29" s="3316"/>
      <c r="E29" s="3316"/>
      <c r="F29" s="3316"/>
      <c r="G29" s="3317"/>
    </row>
    <row r="30" spans="1:7">
      <c r="A30" s="3315" t="s">
        <v>2701</v>
      </c>
      <c r="B30" s="3316"/>
      <c r="C30" s="3316"/>
      <c r="D30" s="3316"/>
      <c r="E30" s="3316"/>
      <c r="F30" s="3316"/>
      <c r="G30" s="3317"/>
    </row>
    <row r="31" spans="1:7">
      <c r="A31" s="3315" t="s">
        <v>2702</v>
      </c>
      <c r="B31" s="3316"/>
      <c r="C31" s="3316"/>
      <c r="D31" s="3316"/>
      <c r="E31" s="3316"/>
      <c r="F31" s="3316"/>
      <c r="G31" s="3317"/>
    </row>
    <row r="32" spans="1:7">
      <c r="A32" s="3315" t="s">
        <v>2703</v>
      </c>
      <c r="B32" s="3316"/>
      <c r="C32" s="3316"/>
      <c r="D32" s="3316"/>
      <c r="E32" s="3316"/>
      <c r="F32" s="3316"/>
      <c r="G32" s="3317"/>
    </row>
    <row r="33" spans="1:7">
      <c r="A33" s="3315" t="s">
        <v>2704</v>
      </c>
      <c r="B33" s="3316"/>
      <c r="C33" s="3316"/>
      <c r="D33" s="3316"/>
      <c r="E33" s="3316"/>
      <c r="F33" s="3316"/>
      <c r="G33" s="3317"/>
    </row>
    <row r="34" spans="1:7">
      <c r="A34" s="3315" t="s">
        <v>2705</v>
      </c>
      <c r="B34" s="3316"/>
      <c r="C34" s="3316"/>
      <c r="D34" s="3316"/>
      <c r="E34" s="3316"/>
      <c r="F34" s="3316"/>
      <c r="G34" s="3317"/>
    </row>
    <row r="35" spans="1:7">
      <c r="A35" s="3315" t="s">
        <v>2706</v>
      </c>
      <c r="B35" s="3316"/>
      <c r="C35" s="3316"/>
      <c r="D35" s="3316"/>
      <c r="E35" s="3316"/>
      <c r="F35" s="3316"/>
      <c r="G35" s="3317"/>
    </row>
    <row r="36" spans="1:7">
      <c r="A36" s="3315" t="s">
        <v>2707</v>
      </c>
      <c r="B36" s="3316"/>
      <c r="C36" s="3316"/>
      <c r="D36" s="3316"/>
      <c r="E36" s="3316"/>
      <c r="F36" s="3316"/>
      <c r="G36" s="3317"/>
    </row>
    <row r="37" spans="1:7">
      <c r="A37" s="3315" t="s">
        <v>2708</v>
      </c>
      <c r="B37" s="3316"/>
      <c r="C37" s="3316"/>
      <c r="D37" s="3316"/>
      <c r="E37" s="3316"/>
      <c r="F37" s="3316"/>
      <c r="G37" s="3317"/>
    </row>
    <row r="38" spans="1:7">
      <c r="A38" s="3315" t="s">
        <v>2709</v>
      </c>
      <c r="B38" s="3316"/>
      <c r="C38" s="3316"/>
      <c r="D38" s="3316"/>
      <c r="E38" s="3316"/>
      <c r="F38" s="3316"/>
      <c r="G38" s="3317"/>
    </row>
    <row r="39" spans="1:7">
      <c r="A39" s="3315"/>
      <c r="B39" s="3316"/>
      <c r="C39" s="3316"/>
      <c r="D39" s="3316"/>
      <c r="E39" s="3316"/>
      <c r="F39" s="3316"/>
      <c r="G39" s="3317"/>
    </row>
    <row r="40" spans="1:7">
      <c r="A40" s="3318" t="s">
        <v>2710</v>
      </c>
      <c r="B40" s="3319"/>
      <c r="C40" s="3319"/>
      <c r="D40" s="3319"/>
      <c r="E40" s="3319"/>
      <c r="F40" s="3319"/>
      <c r="G40" s="3320"/>
    </row>
    <row r="41" spans="1:7">
      <c r="A41" s="3321" t="s">
        <v>2711</v>
      </c>
      <c r="B41" s="3322" t="s">
        <v>2712</v>
      </c>
      <c r="C41" s="3323" t="s">
        <v>2713</v>
      </c>
      <c r="D41" s="3323" t="s">
        <v>2714</v>
      </c>
      <c r="E41" s="3324"/>
      <c r="F41" s="3325"/>
      <c r="G41" s="3326"/>
    </row>
    <row r="42" spans="1:7">
      <c r="A42" s="3321" t="s">
        <v>2715</v>
      </c>
      <c r="B42" s="3322" t="s">
        <v>2716</v>
      </c>
      <c r="C42" s="3323" t="s">
        <v>2716</v>
      </c>
      <c r="D42" s="3327" t="s">
        <v>2717</v>
      </c>
      <c r="E42" s="3319" t="s">
        <v>2718</v>
      </c>
      <c r="F42" s="3319"/>
      <c r="G42" s="3320"/>
    </row>
    <row r="43" spans="1:7">
      <c r="A43" s="3321" t="s">
        <v>2719</v>
      </c>
      <c r="B43" s="3322" t="s">
        <v>2720</v>
      </c>
      <c r="C43" s="3323" t="s">
        <v>2721</v>
      </c>
      <c r="D43" s="3323" t="s">
        <v>2722</v>
      </c>
      <c r="E43" s="3324" t="s">
        <v>2723</v>
      </c>
      <c r="F43" s="3325"/>
      <c r="G43" s="3326"/>
    </row>
    <row r="44" spans="1:7">
      <c r="A44" s="3321" t="s">
        <v>2724</v>
      </c>
      <c r="B44" s="3322" t="s">
        <v>2725</v>
      </c>
      <c r="C44" s="3323" t="s">
        <v>2726</v>
      </c>
      <c r="D44" s="3327">
        <v>0.5</v>
      </c>
      <c r="E44" s="3324" t="s">
        <v>2727</v>
      </c>
      <c r="F44" s="3325"/>
      <c r="G44" s="3326"/>
    </row>
    <row r="45" spans="1:7" ht="14.25" thickBot="1">
      <c r="A45" s="3328" t="s">
        <v>2728</v>
      </c>
      <c r="B45" s="3329" t="s">
        <v>2716</v>
      </c>
      <c r="C45" s="3330" t="s">
        <v>2716</v>
      </c>
      <c r="D45" s="3330" t="s">
        <v>2729</v>
      </c>
      <c r="E45" s="3331" t="s">
        <v>2730</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17" sqref="F1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54" t="str">
        <f>IF(B10="北京市","北京市",C10)&amp;F10&amp;A17&amp;"国有建设用地使用权"&amp;B9&amp;"预评估"</f>
        <v>海南省三亚市吉阳区抱坡村住宅、商业用地出让国有建设用地使用权抵押价格预评估</v>
      </c>
      <c r="C1" s="3755"/>
      <c r="D1" s="3755"/>
      <c r="E1" s="3755"/>
      <c r="F1" s="3755"/>
      <c r="G1" s="3755"/>
      <c r="H1" s="3755"/>
      <c r="I1" s="3756"/>
      <c r="J1" s="2815"/>
      <c r="K1" s="2106" t="str">
        <f>IF(B10="北京市","北京市",C10)&amp;F10&amp;A17&amp;"国有建设用地使用权"&amp;B9</f>
        <v>海南省三亚市吉阳区抱坡村住宅、商业用地出让国有建设用地使用权抵押价格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海南省三亚市吉阳区抱坡村住宅、商业用地出让国有建设用地使用权</v>
      </c>
      <c r="L2" s="2794"/>
      <c r="M2" s="2794"/>
      <c r="N2" s="2795"/>
      <c r="O2" s="2796"/>
      <c r="P2" s="2795"/>
      <c r="Q2" s="2795"/>
      <c r="R2" s="2795"/>
      <c r="S2" s="2795"/>
      <c r="T2" s="2795"/>
      <c r="U2" s="2795"/>
    </row>
    <row r="3" spans="1:21">
      <c r="A3" s="1463" t="s">
        <v>1459</v>
      </c>
      <c r="B3" s="1464">
        <v>45034</v>
      </c>
      <c r="C3" s="2738" t="s">
        <v>1512</v>
      </c>
      <c r="D3" s="1464">
        <f>B3</f>
        <v>45034</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3252</v>
      </c>
      <c r="C4" s="1629">
        <f ca="1">SUMIF(土地估价师,B4,估价师及机构信息!E3:E17)</f>
        <v>2002110125</v>
      </c>
      <c r="D4" s="1626" t="s">
        <v>3253</v>
      </c>
      <c r="E4" s="1629">
        <f ca="1">SUMIF(土地估价师,D4,估价师及机构信息!E3:E17)</f>
        <v>2014110011</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吴薇、郑燚</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1985</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1986</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3209</v>
      </c>
      <c r="C8" s="1473"/>
      <c r="D8" s="3760" t="s">
        <v>1464</v>
      </c>
      <c r="E8" s="1627" t="s">
        <v>3254</v>
      </c>
      <c r="F8" s="1474"/>
      <c r="G8" s="2816"/>
      <c r="H8" s="2816"/>
      <c r="I8" s="2819"/>
      <c r="J8" s="2815"/>
      <c r="K8" s="2798"/>
      <c r="L8" s="2794"/>
      <c r="M8" s="2794"/>
      <c r="N8" s="2795"/>
      <c r="O8" s="2796"/>
      <c r="P8" s="2795"/>
      <c r="Q8" s="2795"/>
      <c r="R8" s="2795"/>
      <c r="S8" s="2795"/>
      <c r="T8" s="2795"/>
      <c r="U8" s="2795"/>
    </row>
    <row r="9" spans="1:21" ht="15" thickBot="1">
      <c r="A9" s="2740" t="s">
        <v>1463</v>
      </c>
      <c r="B9" s="1475" t="s">
        <v>3254</v>
      </c>
      <c r="C9" s="1476"/>
      <c r="D9" s="3761"/>
      <c r="E9" s="1475" t="s">
        <v>877</v>
      </c>
      <c r="F9" s="1535"/>
      <c r="G9" s="2820"/>
      <c r="H9" s="2820"/>
      <c r="I9" s="2821"/>
      <c r="J9" s="2815"/>
      <c r="K9" s="2798"/>
      <c r="L9" s="2794"/>
      <c r="M9" s="2794"/>
      <c r="N9" s="2795"/>
      <c r="O9" s="2796"/>
      <c r="P9" s="2795"/>
      <c r="Q9" s="2795"/>
      <c r="R9" s="2795"/>
      <c r="S9" s="2795"/>
      <c r="T9" s="2795"/>
      <c r="U9" s="2795"/>
    </row>
    <row r="10" spans="1:21" ht="15" thickTop="1">
      <c r="A10" s="2741" t="s">
        <v>1516</v>
      </c>
      <c r="B10" s="1512" t="s">
        <v>3255</v>
      </c>
      <c r="C10" s="1477" t="s">
        <v>3256</v>
      </c>
      <c r="D10" s="1469"/>
      <c r="E10" s="1478" t="s">
        <v>1466</v>
      </c>
      <c r="F10" s="1479" t="s">
        <v>3375</v>
      </c>
      <c r="G10" s="1533"/>
      <c r="H10" s="1534"/>
      <c r="I10" s="1469"/>
      <c r="J10" s="2815"/>
      <c r="K10" s="2798"/>
      <c r="L10" s="2794"/>
      <c r="M10" s="2794"/>
      <c r="N10" s="2795"/>
      <c r="O10" s="2796"/>
      <c r="P10" s="2795"/>
      <c r="Q10" s="2795"/>
      <c r="R10" s="2795"/>
      <c r="S10" s="2795"/>
      <c r="T10" s="2795"/>
      <c r="U10" s="2795"/>
    </row>
    <row r="11" spans="1:21">
      <c r="A11" s="2742" t="s">
        <v>1517</v>
      </c>
      <c r="B11" s="1492" t="s">
        <v>3257</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57"/>
      <c r="C12" s="3758"/>
      <c r="D12" s="3759"/>
      <c r="E12" s="1493" t="s">
        <v>1578</v>
      </c>
      <c r="F12" s="3775" t="s">
        <v>2159</v>
      </c>
      <c r="G12" s="3776"/>
      <c r="H12" s="3776"/>
      <c r="I12" s="3777"/>
      <c r="J12" s="2815"/>
      <c r="K12" s="2798"/>
      <c r="L12" s="2794"/>
      <c r="M12" s="2794"/>
      <c r="N12" s="2795"/>
      <c r="O12" s="2796"/>
      <c r="P12" s="2795"/>
      <c r="Q12" s="2795"/>
      <c r="R12" s="2795"/>
      <c r="S12" s="2795"/>
      <c r="T12" s="2795"/>
      <c r="U12" s="2795"/>
    </row>
    <row r="13" spans="1:21">
      <c r="A13" s="1484" t="s">
        <v>1576</v>
      </c>
      <c r="B13" s="3757"/>
      <c r="C13" s="3758"/>
      <c r="D13" s="3759"/>
      <c r="E13" s="1493" t="s">
        <v>1578</v>
      </c>
      <c r="F13" s="3775" t="s">
        <v>2160</v>
      </c>
      <c r="G13" s="3776"/>
      <c r="H13" s="3776"/>
      <c r="I13" s="3777"/>
      <c r="J13" s="2815"/>
      <c r="K13" s="2798"/>
      <c r="L13" s="2794"/>
      <c r="M13" s="2794"/>
      <c r="N13" s="2795"/>
      <c r="O13" s="2796"/>
      <c r="P13" s="2795"/>
      <c r="Q13" s="2795"/>
      <c r="R13" s="2795"/>
      <c r="S13" s="2795"/>
      <c r="T13" s="2795"/>
      <c r="U13" s="2795"/>
    </row>
    <row r="14" spans="1:21">
      <c r="A14" s="1463" t="s">
        <v>1579</v>
      </c>
      <c r="B14" s="1493"/>
      <c r="C14" s="1628" t="s">
        <v>3258</v>
      </c>
      <c r="D14" s="1526" t="str">
        <f>IF(C14="不一致","是否符合证载地类范围","")</f>
        <v/>
      </c>
      <c r="E14" s="1493"/>
      <c r="F14" s="1575" t="s">
        <v>3259</v>
      </c>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2732</v>
      </c>
      <c r="J15" s="2815"/>
      <c r="K15" s="2798"/>
      <c r="L15" s="2794"/>
      <c r="M15" s="2794"/>
      <c r="N15" s="2795"/>
      <c r="O15" s="2796"/>
      <c r="P15" s="2795"/>
      <c r="Q15" s="2795"/>
      <c r="R15" s="2795"/>
      <c r="S15" s="2795"/>
      <c r="T15" s="2795"/>
      <c r="U15" s="2795"/>
    </row>
    <row r="16" spans="1:21" ht="28.5">
      <c r="A16" s="2743" t="s">
        <v>1467</v>
      </c>
      <c r="B16" s="1493" t="s">
        <v>1468</v>
      </c>
      <c r="C16" s="3280" t="s">
        <v>1469</v>
      </c>
      <c r="D16" s="1515" t="s">
        <v>2733</v>
      </c>
      <c r="E16" s="1515" t="s">
        <v>1212</v>
      </c>
      <c r="F16" s="1515" t="s">
        <v>2734</v>
      </c>
      <c r="G16" s="1515" t="s">
        <v>2735</v>
      </c>
      <c r="H16" s="1483" t="s">
        <v>776</v>
      </c>
      <c r="I16" s="1483" t="s">
        <v>2732</v>
      </c>
      <c r="J16" s="2815"/>
      <c r="K16" s="2107" t="str">
        <f>IF(D17="","",D16&amp;TEXT(D17,"yyyy年m月d日;;"))</f>
        <v>商业2060年3月11日</v>
      </c>
      <c r="L16" s="1493" t="str">
        <f>IF(OR(K16="",M16=""),"","、")</f>
        <v>、</v>
      </c>
      <c r="M16" s="2107" t="str">
        <f>IF(E17="","",E16&amp;TEXT(E17,"yyyy年m月d日;;"))</f>
        <v>办公2070年3月11日</v>
      </c>
      <c r="N16" s="1493" t="str">
        <f>IF(OR(M16="",O16=""),"","、")</f>
        <v>、</v>
      </c>
      <c r="O16" s="2107" t="str">
        <f>IF(F17="","",F16&amp;TEXT(F17,"yyyy年m月d日;;"))</f>
        <v>车库2070年3月11日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4" t="s">
        <v>2736</v>
      </c>
      <c r="B17" s="2744" t="s">
        <v>1473</v>
      </c>
      <c r="C17" s="3333">
        <v>69468</v>
      </c>
      <c r="D17" s="3333">
        <v>58511</v>
      </c>
      <c r="E17" s="3333">
        <v>62163</v>
      </c>
      <c r="F17" s="3333">
        <v>62163</v>
      </c>
      <c r="G17" s="3333"/>
      <c r="H17" s="3333"/>
      <c r="I17" s="3333"/>
      <c r="J17" s="2815"/>
      <c r="K17" s="2793" t="str">
        <f>CONCATENATE(K16,L16,M16,N16,O16,P16,Q16,R16,S16,T16,,U16)</f>
        <v>商业2060年3月11日、办公2070年3月11日、车库2070年3月11日</v>
      </c>
      <c r="L17" s="2794"/>
      <c r="M17" s="2794"/>
      <c r="N17" s="2795"/>
      <c r="O17" s="2796"/>
      <c r="P17" s="2795"/>
      <c r="Q17" s="2795"/>
      <c r="R17" s="2795"/>
      <c r="S17" s="2795"/>
      <c r="T17" s="2795"/>
      <c r="U17" s="2795"/>
    </row>
    <row r="18" spans="1:21">
      <c r="A18" s="1551"/>
      <c r="B18" s="2744" t="s">
        <v>1474</v>
      </c>
      <c r="C18" s="1481">
        <v>70</v>
      </c>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66.94</v>
      </c>
      <c r="D19" s="1546">
        <f>IF(A17="出让",IF(D17="","",ROUNDDOWN(MIN((D17-$D$3)/365,D18),2)),D18)</f>
        <v>36.92</v>
      </c>
      <c r="E19" s="1482">
        <f>IF(A17="出让",IF(E17="","",ROUNDDOWN(MIN((E17-$D$3)/365,E18),2)),E18)</f>
        <v>46.92</v>
      </c>
      <c r="F19" s="1482">
        <f>IF(A17="出让",IF(F17="","",ROUNDDOWN(MIN((F17-$D$3)/365,F18),2)),F18)</f>
        <v>46.92</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72"/>
      <c r="E20" s="3773"/>
      <c r="F20" s="3773"/>
      <c r="G20" s="3773"/>
      <c r="H20" s="3773"/>
      <c r="I20" s="3774"/>
      <c r="J20" s="2815"/>
      <c r="K20" s="2798"/>
      <c r="L20" s="2794"/>
      <c r="M20" s="2794"/>
      <c r="N20" s="2795"/>
      <c r="O20" s="2796"/>
      <c r="P20" s="2795"/>
      <c r="Q20" s="2795"/>
      <c r="R20" s="2795"/>
      <c r="S20" s="2795"/>
      <c r="T20" s="2795"/>
      <c r="U20" s="2795"/>
    </row>
    <row r="21" spans="1:21">
      <c r="A21" s="1551" t="s">
        <v>1476</v>
      </c>
      <c r="B21" s="1552" t="s">
        <v>1477</v>
      </c>
      <c r="C21" s="1547">
        <f>'数据-汇总表'!E3</f>
        <v>127861.33</v>
      </c>
      <c r="D21" s="1548" t="s">
        <v>1478</v>
      </c>
      <c r="E21" s="3762" t="s">
        <v>1515</v>
      </c>
      <c r="F21" s="3763"/>
      <c r="G21" s="3763"/>
      <c r="H21" s="3763"/>
      <c r="I21" s="3764"/>
      <c r="J21" s="2815"/>
      <c r="K21" s="2798"/>
      <c r="L21" s="2794"/>
      <c r="M21" s="2794"/>
      <c r="N21" s="2795"/>
      <c r="O21" s="2796"/>
      <c r="P21" s="2795"/>
      <c r="Q21" s="2795"/>
      <c r="R21" s="2795"/>
      <c r="S21" s="2795"/>
      <c r="T21" s="2795"/>
      <c r="U21" s="2795"/>
    </row>
    <row r="22" spans="1:21">
      <c r="A22" s="2555" t="s">
        <v>877</v>
      </c>
      <c r="B22" s="1463" t="s">
        <v>1479</v>
      </c>
      <c r="C22" s="1483">
        <f>'数据-汇总表'!D3</f>
        <v>39137.980000000003</v>
      </c>
      <c r="D22" s="1484" t="s">
        <v>1478</v>
      </c>
      <c r="E22" s="3762" t="s">
        <v>2161</v>
      </c>
      <c r="F22" s="3763"/>
      <c r="G22" s="3763"/>
      <c r="H22" s="3763"/>
      <c r="I22" s="3764"/>
      <c r="J22" s="2815"/>
      <c r="K22" s="2798"/>
      <c r="L22" s="2794"/>
      <c r="M22" s="2794"/>
      <c r="N22" s="2795"/>
      <c r="O22" s="2796"/>
      <c r="P22" s="2795"/>
      <c r="Q22" s="2795"/>
      <c r="R22" s="2795"/>
      <c r="S22" s="2795"/>
      <c r="T22" s="2795"/>
      <c r="U22" s="2795"/>
    </row>
    <row r="23" spans="1:21" ht="43.5" thickBot="1">
      <c r="A23" s="1553" t="s">
        <v>1480</v>
      </c>
      <c r="B23" s="1494" t="s">
        <v>1481</v>
      </c>
      <c r="C23" s="1495" t="s">
        <v>3267</v>
      </c>
      <c r="D23" s="1496" t="s">
        <v>1482</v>
      </c>
      <c r="E23" s="1497" t="s">
        <v>3546</v>
      </c>
      <c r="F23" s="1498" t="str">
        <f>IF(AND(C23="是",E23="否"),"是否提供他项权证或相关说明","")</f>
        <v>是否提供他项权证或相关说明</v>
      </c>
      <c r="G23" s="1499"/>
      <c r="H23" s="2815"/>
      <c r="I23" s="2819"/>
      <c r="J23" s="2815"/>
      <c r="K23" s="2798"/>
      <c r="L23" s="2794"/>
      <c r="M23" s="2794"/>
      <c r="N23" s="2795"/>
      <c r="O23" s="2796"/>
      <c r="P23" s="2795"/>
      <c r="Q23" s="2795"/>
      <c r="R23" s="2795"/>
      <c r="S23" s="2795"/>
      <c r="T23" s="2795"/>
      <c r="U23" s="2795"/>
    </row>
    <row r="24" spans="1:21">
      <c r="A24" s="1538" t="s">
        <v>1483</v>
      </c>
      <c r="B24" s="3765" t="s">
        <v>1484</v>
      </c>
      <c r="C24" s="3766"/>
      <c r="D24" s="3767" t="s">
        <v>1485</v>
      </c>
      <c r="E24" s="3768"/>
      <c r="F24" s="1501" t="s">
        <v>1486</v>
      </c>
      <c r="G24" s="2815"/>
      <c r="H24" s="2815"/>
      <c r="I24" s="2819"/>
      <c r="J24" s="2815"/>
      <c r="K24" s="3753" t="s">
        <v>1487</v>
      </c>
      <c r="L24" s="2108" t="str">
        <f>"根据估价对象"&amp;IF(B26="——",B25&amp;C25,B25&amp;C25&amp;"、"&amp;B26&amp;C26)&amp;"，"&amp;IF(C23="是","截至估价期日，估价对象已设定抵押。","截至估价期日，估价对象抵押权未见登记。")</f>
        <v>根据估价对象《不动产权证书》原件、，截至估价期日，估价对象已设定抵押。</v>
      </c>
      <c r="M24" s="1516"/>
      <c r="N24" s="2795"/>
      <c r="O24" s="2796"/>
      <c r="P24" s="2795"/>
      <c r="Q24" s="2795"/>
      <c r="R24" s="2795"/>
      <c r="S24" s="2795"/>
      <c r="T24" s="2795"/>
      <c r="U24" s="2795"/>
    </row>
    <row r="25" spans="1:21" ht="28.5">
      <c r="A25" s="1539"/>
      <c r="B25" s="1536" t="s">
        <v>3539</v>
      </c>
      <c r="C25" s="1502" t="s">
        <v>1488</v>
      </c>
      <c r="D25" s="1503"/>
      <c r="E25" s="1504" t="s">
        <v>877</v>
      </c>
      <c r="F25" s="1505"/>
      <c r="G25" s="2815"/>
      <c r="H25" s="2815"/>
      <c r="I25" s="2819"/>
      <c r="J25" s="2815"/>
      <c r="K25" s="3753"/>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53"/>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80" t="s">
        <v>1518</v>
      </c>
      <c r="B31" s="1552" t="s">
        <v>1519</v>
      </c>
      <c r="C31" s="3778" t="s">
        <v>3544</v>
      </c>
      <c r="D31" s="3779"/>
      <c r="E31" s="2815"/>
      <c r="F31" s="2815"/>
      <c r="G31" s="2815"/>
      <c r="H31" s="2815"/>
      <c r="I31" s="2819"/>
      <c r="J31" s="2815"/>
      <c r="K31" s="2801"/>
      <c r="L31" s="2795"/>
      <c r="M31" s="2795"/>
      <c r="N31" s="2795"/>
      <c r="O31" s="2795"/>
      <c r="P31" s="2795"/>
      <c r="Q31" s="2795"/>
      <c r="R31" s="2795"/>
      <c r="S31" s="2795"/>
      <c r="T31" s="2795"/>
      <c r="U31" s="2795"/>
    </row>
    <row r="32" spans="1:21">
      <c r="A32" s="3780"/>
      <c r="B32" s="1463" t="s">
        <v>1520</v>
      </c>
      <c r="C32" s="1512" t="s">
        <v>3545</v>
      </c>
      <c r="D32" s="1513"/>
      <c r="E32" s="2815"/>
      <c r="F32" s="2815"/>
      <c r="G32" s="2815"/>
      <c r="H32" s="2815"/>
      <c r="I32" s="2819"/>
      <c r="J32" s="2815"/>
      <c r="K32" s="2801"/>
      <c r="L32" s="2795"/>
      <c r="M32" s="2795"/>
      <c r="N32" s="2795"/>
      <c r="O32" s="2795"/>
      <c r="P32" s="2795"/>
      <c r="Q32" s="2795"/>
      <c r="R32" s="2795"/>
      <c r="S32" s="2795"/>
      <c r="T32" s="2795"/>
      <c r="U32" s="2795"/>
    </row>
    <row r="33" spans="1:28">
      <c r="A33" s="3780"/>
      <c r="B33" s="1463" t="s">
        <v>1521</v>
      </c>
      <c r="C33" s="1514" t="s">
        <v>3546</v>
      </c>
      <c r="D33" s="1622"/>
      <c r="E33" s="2815"/>
      <c r="F33" s="2815"/>
      <c r="G33" s="2815"/>
      <c r="H33" s="2815"/>
      <c r="I33" s="2819"/>
      <c r="J33" s="2815"/>
      <c r="K33" s="2801"/>
      <c r="L33" s="2795"/>
      <c r="M33" s="2795"/>
      <c r="N33" s="2795"/>
      <c r="O33" s="2795"/>
      <c r="P33" s="2795"/>
      <c r="Q33" s="2795"/>
      <c r="R33" s="2795"/>
      <c r="S33" s="2795"/>
      <c r="T33" s="2795"/>
      <c r="U33" s="2795"/>
    </row>
    <row r="34" spans="1:28">
      <c r="A34" s="3781"/>
      <c r="B34" s="1463" t="s">
        <v>1522</v>
      </c>
      <c r="C34" s="3782" t="s">
        <v>3547</v>
      </c>
      <c r="D34" s="3783"/>
      <c r="E34" s="2815"/>
      <c r="F34" s="2815"/>
      <c r="G34" s="2815"/>
      <c r="H34" s="2815"/>
      <c r="I34" s="2819"/>
      <c r="J34" s="2815"/>
      <c r="K34" s="2801"/>
      <c r="L34" s="2795"/>
      <c r="M34" s="2795"/>
      <c r="N34" s="2795"/>
      <c r="O34" s="2795"/>
      <c r="P34" s="2795"/>
      <c r="Q34" s="2795"/>
      <c r="R34" s="2795"/>
      <c r="S34" s="2795"/>
      <c r="T34" s="2795"/>
      <c r="U34" s="2795"/>
    </row>
    <row r="35" spans="1:28" ht="28.5">
      <c r="A35" s="3784" t="s">
        <v>785</v>
      </c>
      <c r="B35" s="1515" t="s">
        <v>3543</v>
      </c>
      <c r="C35" s="1561" t="str">
        <f>IF(B35="场地平整","——","具体情况：")</f>
        <v>具体情况：</v>
      </c>
      <c r="D35" s="3786"/>
      <c r="E35" s="3787"/>
      <c r="F35" s="3787"/>
      <c r="G35" s="3787"/>
      <c r="H35" s="3787"/>
      <c r="I35" s="3788"/>
      <c r="J35" s="2815"/>
      <c r="K35" s="2802"/>
      <c r="L35" s="2794"/>
      <c r="M35" s="2794"/>
      <c r="N35" s="2795"/>
      <c r="O35" s="2796"/>
      <c r="P35" s="2795"/>
      <c r="Q35" s="2795"/>
      <c r="R35" s="2795"/>
      <c r="S35" s="2795"/>
      <c r="T35" s="2795"/>
      <c r="U35" s="2795"/>
    </row>
    <row r="36" spans="1:28">
      <c r="A36" s="3780"/>
      <c r="B36" s="3789" t="s">
        <v>1571</v>
      </c>
      <c r="C36" s="3790"/>
      <c r="D36" s="1577" t="s">
        <v>2767</v>
      </c>
      <c r="E36" s="3791"/>
      <c r="F36" s="3791"/>
      <c r="G36" s="1484" t="str">
        <f>IF(B35="场地未平整","估价结果处理","")</f>
        <v/>
      </c>
      <c r="H36" s="3792"/>
      <c r="I36" s="3792"/>
      <c r="J36" s="2815"/>
      <c r="K36" s="2802"/>
      <c r="L36" s="2794"/>
      <c r="M36" s="2794"/>
      <c r="N36" s="2795"/>
      <c r="O36" s="2796"/>
      <c r="P36" s="2795"/>
      <c r="Q36" s="2795"/>
      <c r="R36" s="2795"/>
      <c r="S36" s="2795"/>
      <c r="T36" s="2795"/>
      <c r="U36" s="2795"/>
    </row>
    <row r="37" spans="1:28" ht="28.5">
      <c r="A37" s="3780"/>
      <c r="B37" s="3769"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80"/>
      <c r="B38" s="3770"/>
      <c r="C38" s="1471"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81"/>
      <c r="B39" s="3771"/>
      <c r="C39" s="1491" t="str">
        <f>IF(D38&lt;1,"不存在土地闲置",IF(B35="宗地内已开工建设","已开工，不存在土地闲置","估价对象已涉嫌土地闲置"))</f>
        <v>已开工，不存在土地闲置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2760</v>
      </c>
      <c r="C40" s="1485" t="s">
        <v>2761</v>
      </c>
      <c r="D40" s="1485" t="s">
        <v>2763</v>
      </c>
      <c r="E40" s="1485" t="s">
        <v>2764</v>
      </c>
      <c r="F40" s="1485" t="s">
        <v>2762</v>
      </c>
      <c r="G40" s="1485" t="s">
        <v>2766</v>
      </c>
      <c r="H40" s="1485" t="s">
        <v>877</v>
      </c>
      <c r="I40" s="2819"/>
      <c r="J40" s="2815"/>
      <c r="K40" s="2763">
        <f>COUNTIF(B40:H40,"——")</f>
        <v>1</v>
      </c>
      <c r="L40" s="1493" t="s">
        <v>1495</v>
      </c>
      <c r="M40" s="1490" t="s">
        <v>1496</v>
      </c>
      <c r="N40" s="1490" t="s">
        <v>1497</v>
      </c>
      <c r="O40" s="1490" t="s">
        <v>1498</v>
      </c>
      <c r="P40" s="1490" t="s">
        <v>1499</v>
      </c>
      <c r="Q40" s="1490" t="s">
        <v>1500</v>
      </c>
      <c r="R40" s="1490" t="s">
        <v>1501</v>
      </c>
      <c r="S40" s="3752" t="s">
        <v>1502</v>
      </c>
      <c r="T40" s="1524" t="str">
        <f>NUMBERSTRING(7-K40,1)&amp;"通"</f>
        <v>六通</v>
      </c>
      <c r="U40" s="2795"/>
    </row>
    <row r="41" spans="1:28">
      <c r="A41" s="1465"/>
      <c r="B41" s="3785" t="s">
        <v>1250</v>
      </c>
      <c r="C41" s="3785"/>
      <c r="D41" s="3785"/>
      <c r="E41" s="3785"/>
      <c r="F41" s="1525" t="str">
        <f>C10</f>
        <v>海南省</v>
      </c>
      <c r="G41" s="2815"/>
      <c r="H41" s="2815"/>
      <c r="I41" s="2819"/>
      <c r="J41" s="2815"/>
      <c r="K41" s="1493"/>
      <c r="L41" s="1490" t="str">
        <f>B40</f>
        <v>通路</v>
      </c>
      <c r="M41" s="1526" t="str">
        <f>B40&amp;"、"&amp;C40</f>
        <v>通路、通电</v>
      </c>
      <c r="N41" s="1527" t="str">
        <f>B40&amp;"、"&amp;C40&amp;"、"&amp;D40</f>
        <v>通路、通电、通上水</v>
      </c>
      <c r="O41" s="1527" t="str">
        <f>B40&amp;"、"&amp;C40&amp;"、"&amp;D40&amp;"、"&amp;E40</f>
        <v>通路、通电、通上水、通下水</v>
      </c>
      <c r="P41" s="1527" t="str">
        <f>B40&amp;"、"&amp;C40&amp;"、"&amp;D40&amp;"、"&amp;E40&amp;"、"&amp;F40</f>
        <v>通路、通电、通上水、通下水、通讯</v>
      </c>
      <c r="Q41" s="1527" t="str">
        <f>B40&amp;"、"&amp;C40&amp;"、"&amp;D40&amp;"、"&amp;E40&amp;"、"&amp;F40&amp;"、"&amp;G40</f>
        <v>通路、通电、通上水、通下水、通讯、燃气</v>
      </c>
      <c r="R41" s="1527" t="str">
        <f>B40&amp;"、"&amp;C40&amp;"、"&amp;D40&amp;"、"&amp;E40&amp;"、"&amp;F40&amp;"、"&amp;G40&amp;"、"&amp;H40</f>
        <v>通路、通电、通上水、通下水、通讯、燃气、——</v>
      </c>
      <c r="S41" s="3752"/>
      <c r="T41" s="1526" t="str">
        <f>IF(T40="一通",L41,IF(T40="二通",M41,IF(T40="三通",N41,IF(T40="四通",O41,IF(T40="五通",P41,IF(T40="六通",Q41,R41))))))</f>
        <v>通路、通电、通上水、通下水、通讯、燃气</v>
      </c>
      <c r="U41" s="2795"/>
    </row>
    <row r="42" spans="1:28">
      <c r="A42" s="1528"/>
      <c r="B42" s="1554" t="s">
        <v>1422</v>
      </c>
      <c r="C42" s="1554" t="s">
        <v>1423</v>
      </c>
      <c r="D42" s="1554" t="s">
        <v>1424</v>
      </c>
      <c r="E42" s="3280" t="s">
        <v>2737</v>
      </c>
      <c r="F42" s="3280" t="s">
        <v>2738</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2162</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N22" sqref="N22"/>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1687</v>
      </c>
      <c r="BA2" s="2057" t="s">
        <v>1686</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v>39137.980000000003</v>
      </c>
      <c r="B3" s="20">
        <f>IF(C3="否",G5-AT5,G5)</f>
        <v>127861.33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127861.33</v>
      </c>
      <c r="H5" s="25">
        <f t="shared" ref="H5:AT5" si="0">SUM(H13:H641)</f>
        <v>92978.39</v>
      </c>
      <c r="I5" s="25">
        <f t="shared" si="0"/>
        <v>77355.81</v>
      </c>
      <c r="J5" s="25">
        <f t="shared" si="0"/>
        <v>0</v>
      </c>
      <c r="K5" s="25">
        <f t="shared" si="0"/>
        <v>0</v>
      </c>
      <c r="L5" s="25">
        <f t="shared" si="0"/>
        <v>0</v>
      </c>
      <c r="M5" s="25">
        <f t="shared" si="0"/>
        <v>11128.710000000001</v>
      </c>
      <c r="N5" s="25">
        <f t="shared" si="0"/>
        <v>0</v>
      </c>
      <c r="O5" s="25">
        <f t="shared" si="0"/>
        <v>4493.869999999999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34882.94</v>
      </c>
      <c r="AD5" s="25">
        <f t="shared" si="0"/>
        <v>561.06999999999994</v>
      </c>
      <c r="AE5" s="25">
        <f t="shared" si="0"/>
        <v>0</v>
      </c>
      <c r="AF5" s="25">
        <f t="shared" si="0"/>
        <v>0</v>
      </c>
      <c r="AG5" s="25">
        <f t="shared" si="0"/>
        <v>0</v>
      </c>
      <c r="AH5" s="25">
        <f t="shared" si="0"/>
        <v>0</v>
      </c>
      <c r="AI5" s="25">
        <f t="shared" si="0"/>
        <v>0</v>
      </c>
      <c r="AJ5" s="25">
        <f t="shared" si="0"/>
        <v>0</v>
      </c>
      <c r="AK5" s="25">
        <f t="shared" si="0"/>
        <v>0</v>
      </c>
      <c r="AL5" s="25">
        <f t="shared" si="0"/>
        <v>1759.9399999999998</v>
      </c>
      <c r="AM5" s="25">
        <f t="shared" si="0"/>
        <v>0</v>
      </c>
      <c r="AN5" s="25">
        <f t="shared" si="0"/>
        <v>32561.93</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127861.33</v>
      </c>
      <c r="BA5" s="27">
        <f t="shared" si="1"/>
        <v>92978.39</v>
      </c>
      <c r="BB5" s="27">
        <f t="shared" si="1"/>
        <v>77355.81</v>
      </c>
      <c r="BC5" s="27">
        <f t="shared" si="1"/>
        <v>0</v>
      </c>
      <c r="BD5" s="27">
        <f t="shared" si="1"/>
        <v>11128.710000000001</v>
      </c>
      <c r="BE5" s="27">
        <f t="shared" si="1"/>
        <v>4493.869999999999</v>
      </c>
      <c r="BF5" s="27">
        <f t="shared" si="1"/>
        <v>0</v>
      </c>
      <c r="BG5" s="27">
        <f t="shared" si="1"/>
        <v>0</v>
      </c>
      <c r="BH5" s="27">
        <f t="shared" si="1"/>
        <v>0</v>
      </c>
      <c r="BI5" s="27">
        <f t="shared" si="1"/>
        <v>0</v>
      </c>
      <c r="BJ5" s="27">
        <f t="shared" si="1"/>
        <v>0</v>
      </c>
      <c r="BK5" s="27">
        <f t="shared" si="1"/>
        <v>0</v>
      </c>
      <c r="BL5" s="27">
        <f t="shared" si="1"/>
        <v>34882.94</v>
      </c>
      <c r="BM5" s="27">
        <f t="shared" si="1"/>
        <v>561.06999999999994</v>
      </c>
      <c r="BN5" s="27">
        <f t="shared" si="1"/>
        <v>0</v>
      </c>
      <c r="BO5" s="27">
        <f t="shared" si="1"/>
        <v>0</v>
      </c>
      <c r="BP5" s="27">
        <f t="shared" si="1"/>
        <v>0</v>
      </c>
      <c r="BQ5" s="27">
        <f t="shared" si="1"/>
        <v>1759.9399999999998</v>
      </c>
      <c r="BR5" s="27">
        <f t="shared" si="1"/>
        <v>32561.93</v>
      </c>
      <c r="BS5" s="27">
        <f t="shared" si="1"/>
        <v>0</v>
      </c>
      <c r="BT5" s="28">
        <f t="shared" si="1"/>
        <v>0</v>
      </c>
    </row>
    <row r="6" spans="1:72" s="35" customFormat="1" ht="12.75">
      <c r="A6" s="24" t="s">
        <v>135</v>
      </c>
      <c r="B6" s="29"/>
      <c r="C6" s="29"/>
      <c r="D6" s="30"/>
      <c r="E6" s="25">
        <f>H6+AC6+AT6</f>
        <v>39137.980000000003</v>
      </c>
      <c r="F6" s="25" t="s">
        <v>0</v>
      </c>
      <c r="G6" s="25" t="s">
        <v>1</v>
      </c>
      <c r="H6" s="31">
        <f>SUMIF(I$12:AB$12,"总值",I6:AB6)</f>
        <v>28460.420000000002</v>
      </c>
      <c r="I6" s="25">
        <f t="shared" ref="I6:AB6" si="2">ROUND($A$3*I5/$B$3,2)</f>
        <v>23678.39</v>
      </c>
      <c r="J6" s="25">
        <f t="shared" si="2"/>
        <v>0</v>
      </c>
      <c r="K6" s="25">
        <f t="shared" si="2"/>
        <v>0</v>
      </c>
      <c r="L6" s="25">
        <f t="shared" si="2"/>
        <v>0</v>
      </c>
      <c r="M6" s="25">
        <f t="shared" si="2"/>
        <v>3406.47</v>
      </c>
      <c r="N6" s="25">
        <f t="shared" si="2"/>
        <v>0</v>
      </c>
      <c r="O6" s="25">
        <f t="shared" si="2"/>
        <v>1375.56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10677.560000000001</v>
      </c>
      <c r="AD6" s="25">
        <f t="shared" ref="AD6:AS6" si="3">ROUND($A$3*AD5/$B$3,2)</f>
        <v>171.74</v>
      </c>
      <c r="AE6" s="25">
        <f t="shared" si="3"/>
        <v>0</v>
      </c>
      <c r="AF6" s="25">
        <f t="shared" si="3"/>
        <v>0</v>
      </c>
      <c r="AG6" s="25">
        <f t="shared" si="3"/>
        <v>0</v>
      </c>
      <c r="AH6" s="25">
        <f t="shared" si="3"/>
        <v>0</v>
      </c>
      <c r="AI6" s="25">
        <f t="shared" si="3"/>
        <v>0</v>
      </c>
      <c r="AJ6" s="25">
        <f t="shared" si="3"/>
        <v>0</v>
      </c>
      <c r="AK6" s="25">
        <f t="shared" si="3"/>
        <v>0</v>
      </c>
      <c r="AL6" s="25">
        <f t="shared" si="3"/>
        <v>538.71</v>
      </c>
      <c r="AM6" s="25">
        <f t="shared" si="3"/>
        <v>0</v>
      </c>
      <c r="AN6" s="25">
        <f t="shared" si="3"/>
        <v>9967.11</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39137.980000000003</v>
      </c>
      <c r="AZ6" s="25" t="s">
        <v>2</v>
      </c>
      <c r="BA6" s="25">
        <f>ROUND($AY$6*BA5/$AZ$5,2)</f>
        <v>28460.41</v>
      </c>
      <c r="BB6" s="25">
        <f>ROUND($AY$6*BB5/$AZ$5,2)</f>
        <v>23678.39</v>
      </c>
      <c r="BC6" s="25">
        <f t="shared" ref="BC6:BH6" si="4">ROUND($AY$6*BC5/$AZ$5,2)</f>
        <v>0</v>
      </c>
      <c r="BD6" s="25">
        <f t="shared" si="4"/>
        <v>3406.47</v>
      </c>
      <c r="BE6" s="25">
        <f t="shared" si="4"/>
        <v>1375.56</v>
      </c>
      <c r="BF6" s="25">
        <f t="shared" si="4"/>
        <v>0</v>
      </c>
      <c r="BG6" s="25">
        <f t="shared" si="4"/>
        <v>0</v>
      </c>
      <c r="BH6" s="25">
        <f t="shared" si="4"/>
        <v>0</v>
      </c>
      <c r="BI6" s="25">
        <f t="shared" ref="BI6:BT6" si="5">ROUND($AY$6*BI5/$AZ$5,2)</f>
        <v>0</v>
      </c>
      <c r="BJ6" s="25">
        <f t="shared" si="5"/>
        <v>0</v>
      </c>
      <c r="BK6" s="25">
        <f t="shared" si="5"/>
        <v>0</v>
      </c>
      <c r="BL6" s="25">
        <f t="shared" si="5"/>
        <v>10677.57</v>
      </c>
      <c r="BM6" s="25">
        <f t="shared" si="5"/>
        <v>171.74</v>
      </c>
      <c r="BN6" s="25">
        <f t="shared" si="5"/>
        <v>0</v>
      </c>
      <c r="BO6" s="25">
        <f t="shared" si="5"/>
        <v>0</v>
      </c>
      <c r="BP6" s="25">
        <f t="shared" si="5"/>
        <v>0</v>
      </c>
      <c r="BQ6" s="25">
        <f t="shared" si="5"/>
        <v>538.71</v>
      </c>
      <c r="BR6" s="25">
        <f t="shared" si="5"/>
        <v>9967.11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3263</v>
      </c>
      <c r="J9" s="49"/>
      <c r="K9" s="2490" t="s">
        <v>3265</v>
      </c>
      <c r="L9" s="49"/>
      <c r="M9" s="2490" t="s">
        <v>3263</v>
      </c>
      <c r="N9" s="49"/>
      <c r="O9" s="57" t="s">
        <v>3263</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2734</v>
      </c>
      <c r="L10" s="49"/>
      <c r="M10" s="2492" t="s">
        <v>2733</v>
      </c>
      <c r="N10" s="49"/>
      <c r="O10" s="64" t="s">
        <v>2733</v>
      </c>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1685</v>
      </c>
      <c r="AK10" s="2050"/>
      <c r="AL10" s="2031" t="s">
        <v>1675</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地上</v>
      </c>
      <c r="BE10" s="67" t="str">
        <f>O9</f>
        <v>地上</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t="s">
        <v>3395</v>
      </c>
      <c r="J11" s="69"/>
      <c r="K11" s="2491" t="s">
        <v>2734</v>
      </c>
      <c r="L11" s="69"/>
      <c r="M11" s="68" t="s">
        <v>3587</v>
      </c>
      <c r="N11" s="69"/>
      <c r="O11" s="68" t="s">
        <v>3429</v>
      </c>
      <c r="P11" s="69"/>
      <c r="Q11" s="68"/>
      <c r="R11" s="69"/>
      <c r="S11" s="68"/>
      <c r="T11" s="69"/>
      <c r="U11" s="68"/>
      <c r="V11" s="69"/>
      <c r="W11" s="68"/>
      <c r="X11" s="69"/>
      <c r="Y11" s="68"/>
      <c r="Z11" s="69"/>
      <c r="AA11" s="68"/>
      <c r="AB11" s="69"/>
      <c r="AC11" s="53"/>
      <c r="AD11" s="2051" t="s">
        <v>1684</v>
      </c>
      <c r="AE11" s="963"/>
      <c r="AF11" s="2051" t="s">
        <v>1684</v>
      </c>
      <c r="AG11" s="963"/>
      <c r="AH11" s="2051" t="s">
        <v>1683</v>
      </c>
      <c r="AI11" s="2052"/>
      <c r="AJ11" s="2051" t="s">
        <v>1683</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车库</v>
      </c>
      <c r="BD11" s="48" t="str">
        <f>M10</f>
        <v>商业</v>
      </c>
      <c r="BE11" s="48" t="str">
        <f>O10</f>
        <v>商业</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普通住宅</v>
      </c>
      <c r="BC12" s="77" t="str">
        <f>K11</f>
        <v>车库</v>
      </c>
      <c r="BD12" s="77" t="str">
        <f>M11</f>
        <v>独立商业</v>
      </c>
      <c r="BE12" s="48" t="str">
        <f>O11</f>
        <v>公寓</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3267</v>
      </c>
      <c r="E13" s="25">
        <f t="shared" ref="E13:E20" si="6">IF($C$3="是",ROUND($A$3*G13/$B$3,2),ROUND($A$3*(G13-AT13)/$B$3,2))</f>
        <v>39137.980000000003</v>
      </c>
      <c r="F13" s="78"/>
      <c r="G13" s="79">
        <f t="shared" ref="G13:G20" si="7">H13+AC13+AT13</f>
        <v>127861.33</v>
      </c>
      <c r="H13" s="31">
        <f t="shared" ref="H13:H20" si="8">SUMIF(I$12:AB$12,"总值",I13:AB13)</f>
        <v>92978.39</v>
      </c>
      <c r="I13" s="2489">
        <f>面积指标!J3</f>
        <v>77355.81</v>
      </c>
      <c r="J13" s="2489"/>
      <c r="K13" s="2489"/>
      <c r="L13" s="2489"/>
      <c r="M13" s="2489">
        <f>面积指标!M4</f>
        <v>11128.710000000001</v>
      </c>
      <c r="N13" s="80"/>
      <c r="O13" s="80">
        <f>面积指标!M5</f>
        <v>4493.869999999999</v>
      </c>
      <c r="P13" s="80"/>
      <c r="Q13" s="80"/>
      <c r="R13" s="80"/>
      <c r="S13" s="80"/>
      <c r="T13" s="80"/>
      <c r="U13" s="80"/>
      <c r="V13" s="80"/>
      <c r="W13" s="80"/>
      <c r="X13" s="80"/>
      <c r="Y13" s="80"/>
      <c r="Z13" s="80"/>
      <c r="AA13" s="80"/>
      <c r="AB13" s="80"/>
      <c r="AC13" s="25">
        <f t="shared" ref="AC13:AC20" si="9">SUMIF(AD$12:AS$12,"总值",AD13:AS13)</f>
        <v>34882.94</v>
      </c>
      <c r="AD13" s="2493">
        <f>面积指标!J7</f>
        <v>561.06999999999994</v>
      </c>
      <c r="AE13" s="2493"/>
      <c r="AF13" s="2493"/>
      <c r="AG13" s="2493"/>
      <c r="AH13" s="2493"/>
      <c r="AI13" s="2493"/>
      <c r="AJ13" s="2493"/>
      <c r="AK13" s="2493"/>
      <c r="AL13" s="2493">
        <f>面积指标!J8</f>
        <v>1759.9399999999998</v>
      </c>
      <c r="AM13" s="2493"/>
      <c r="AN13" s="2493">
        <f>面积指标!J9+面积指标!M41</f>
        <v>32561.93</v>
      </c>
      <c r="AO13" s="2493"/>
      <c r="AP13" s="2493"/>
      <c r="AQ13" s="2493"/>
      <c r="AR13" s="2493"/>
      <c r="AS13" s="2493"/>
      <c r="AT13" s="2494"/>
      <c r="AU13" s="2495"/>
      <c r="AV13" s="15">
        <f t="shared" ref="AV13:AX20" si="10">A13</f>
        <v>0</v>
      </c>
      <c r="AW13" s="15">
        <f t="shared" si="10"/>
        <v>0</v>
      </c>
      <c r="AX13" s="15">
        <f t="shared" si="10"/>
        <v>0</v>
      </c>
      <c r="AY13" s="957">
        <f t="shared" ref="AY13:AY20" si="11">ROUND($AY$6*AZ13/$AZ$5,2)</f>
        <v>39137.980000000003</v>
      </c>
      <c r="AZ13" s="25">
        <f t="shared" ref="AZ13:AZ20" si="12">BA13+BL13</f>
        <v>127861.33</v>
      </c>
      <c r="BA13" s="25">
        <f t="shared" ref="BA13:BA20" si="13">SUM(BB13:BK13)</f>
        <v>92978.39</v>
      </c>
      <c r="BB13" s="25">
        <f t="shared" ref="BB13:BB20" si="14">IF($D13="是",I13-J13,0)</f>
        <v>77355.81</v>
      </c>
      <c r="BC13" s="25">
        <f t="shared" ref="BC13:BC20" si="15">IF($D13="是",K13-L13,0)</f>
        <v>0</v>
      </c>
      <c r="BD13" s="25">
        <f t="shared" ref="BD13:BD20" si="16">IF($D13="是",M13-N13,0)</f>
        <v>11128.710000000001</v>
      </c>
      <c r="BE13" s="25">
        <f t="shared" ref="BE13:BE20" si="17">IF($D13="是",O13-P13,0)</f>
        <v>4493.869999999999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34882.94</v>
      </c>
      <c r="BM13" s="25">
        <f t="shared" ref="BM13:BM20" si="25">IF($D13="是",AD13-AE13,0)</f>
        <v>561.06999999999994</v>
      </c>
      <c r="BN13" s="25">
        <f t="shared" ref="BN13:BN20" si="26">IF($D13="是",AF13-AG13,0)</f>
        <v>0</v>
      </c>
      <c r="BO13" s="25">
        <f t="shared" ref="BO13:BO20" si="27">IF($D13="是",AH13-AI13,0)</f>
        <v>0</v>
      </c>
      <c r="BP13" s="25">
        <f t="shared" ref="BP13:BP20" si="28">IF($D13="是",AJ13-AK13,0)</f>
        <v>0</v>
      </c>
      <c r="BQ13" s="25">
        <f t="shared" ref="BQ13:BQ20" si="29">IF($D13="是",AL13-AM13,0)</f>
        <v>1759.9399999999998</v>
      </c>
      <c r="BR13" s="25">
        <f t="shared" ref="BR13:BR20" si="30">IF($D13="是",AN13-AO13,0)</f>
        <v>32561.93</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workbookViewId="0">
      <selection activeCell="L9" sqref="L9"/>
    </sheetView>
  </sheetViews>
  <sheetFormatPr defaultRowHeight="13.5"/>
  <cols>
    <col min="2" max="2" width="23.75" customWidth="1"/>
  </cols>
  <sheetData>
    <row r="1" spans="1:16">
      <c r="A1" s="3793" t="s">
        <v>3260</v>
      </c>
      <c r="B1" s="3793" t="s">
        <v>3261</v>
      </c>
      <c r="C1" s="3793"/>
      <c r="D1" s="3793" t="s">
        <v>3499</v>
      </c>
      <c r="E1" s="3793" t="s">
        <v>3262</v>
      </c>
      <c r="F1" s="3793"/>
      <c r="G1" s="3706" t="s">
        <v>3518</v>
      </c>
    </row>
    <row r="2" spans="1:16">
      <c r="A2" s="3793"/>
      <c r="B2" s="3793"/>
      <c r="C2" s="3793"/>
      <c r="D2" s="3793"/>
      <c r="E2" s="3706" t="s">
        <v>3264</v>
      </c>
      <c r="F2" s="3706" t="s">
        <v>3266</v>
      </c>
      <c r="G2" s="3707"/>
    </row>
    <row r="3" spans="1:16">
      <c r="A3" s="3707">
        <v>1</v>
      </c>
      <c r="B3" s="3706" t="s">
        <v>3498</v>
      </c>
      <c r="C3" s="3706"/>
      <c r="D3" s="3706" t="s">
        <v>3500</v>
      </c>
      <c r="E3" s="3707">
        <v>3726.6</v>
      </c>
      <c r="F3" s="3707">
        <v>0</v>
      </c>
      <c r="G3" s="3707"/>
      <c r="I3" s="2988" t="s">
        <v>3398</v>
      </c>
      <c r="J3">
        <f>M28</f>
        <v>77355.81</v>
      </c>
    </row>
    <row r="4" spans="1:16">
      <c r="A4" s="3707">
        <v>2</v>
      </c>
      <c r="B4" s="3706" t="s">
        <v>3501</v>
      </c>
      <c r="C4" s="3706"/>
      <c r="D4" s="3706" t="s">
        <v>3500</v>
      </c>
      <c r="E4" s="3707">
        <v>3654.53</v>
      </c>
      <c r="F4" s="3707">
        <v>0</v>
      </c>
      <c r="G4" s="3707"/>
      <c r="I4" s="2988" t="s">
        <v>3396</v>
      </c>
      <c r="J4">
        <f>M33</f>
        <v>15622.58</v>
      </c>
      <c r="L4" s="2988" t="s">
        <v>3588</v>
      </c>
      <c r="M4">
        <f>E4+E5+E6+E3</f>
        <v>11128.710000000001</v>
      </c>
    </row>
    <row r="5" spans="1:16">
      <c r="A5" s="3707">
        <v>3</v>
      </c>
      <c r="B5" s="3706" t="s">
        <v>3502</v>
      </c>
      <c r="C5" s="3706"/>
      <c r="D5" s="3706" t="s">
        <v>3500</v>
      </c>
      <c r="E5" s="3707">
        <v>1490.65</v>
      </c>
      <c r="F5" s="3707">
        <v>0</v>
      </c>
      <c r="G5" s="3707"/>
      <c r="I5" s="2988" t="s">
        <v>3422</v>
      </c>
      <c r="J5" s="2988">
        <f>M41</f>
        <v>32059.95</v>
      </c>
      <c r="K5">
        <f>M55</f>
        <v>893</v>
      </c>
      <c r="L5" s="2988" t="s">
        <v>3428</v>
      </c>
      <c r="M5">
        <f>J4-M4</f>
        <v>4493.869999999999</v>
      </c>
      <c r="O5" s="2988" t="s">
        <v>3542</v>
      </c>
    </row>
    <row r="6" spans="1:16">
      <c r="A6" s="3707">
        <v>4</v>
      </c>
      <c r="B6" s="3706" t="s">
        <v>3503</v>
      </c>
      <c r="C6" s="3706"/>
      <c r="D6" s="3706" t="s">
        <v>3500</v>
      </c>
      <c r="E6" s="3707">
        <v>2256.9299999999998</v>
      </c>
      <c r="F6" s="3707">
        <v>0</v>
      </c>
      <c r="G6" s="3707"/>
      <c r="I6" s="2988" t="s">
        <v>3426</v>
      </c>
      <c r="J6" s="2988" t="s">
        <v>3427</v>
      </c>
      <c r="O6" s="2988" t="s">
        <v>3541</v>
      </c>
      <c r="P6" s="2988" t="s">
        <v>3540</v>
      </c>
    </row>
    <row r="7" spans="1:16">
      <c r="A7" s="3707">
        <v>5</v>
      </c>
      <c r="B7" s="3706" t="s">
        <v>3397</v>
      </c>
      <c r="C7" s="3706"/>
      <c r="D7" s="3706" t="s">
        <v>3505</v>
      </c>
      <c r="E7" s="3707">
        <v>0</v>
      </c>
      <c r="F7" s="3707">
        <v>32561.93</v>
      </c>
      <c r="G7" s="3707"/>
      <c r="I7" s="2988" t="s">
        <v>3423</v>
      </c>
      <c r="J7">
        <f>M29+M31+M32</f>
        <v>561.06999999999994</v>
      </c>
    </row>
    <row r="8" spans="1:16">
      <c r="A8" s="3707">
        <v>6</v>
      </c>
      <c r="B8" s="3706" t="s">
        <v>3506</v>
      </c>
      <c r="C8" s="3707"/>
      <c r="D8" s="3706" t="s">
        <v>3512</v>
      </c>
      <c r="E8" s="3707">
        <v>5570.98</v>
      </c>
      <c r="F8" s="3707">
        <v>0</v>
      </c>
      <c r="G8" s="3707"/>
      <c r="I8" s="2988" t="s">
        <v>3424</v>
      </c>
      <c r="J8">
        <f>M36</f>
        <v>1759.9399999999998</v>
      </c>
    </row>
    <row r="9" spans="1:16">
      <c r="A9" s="3707">
        <v>7</v>
      </c>
      <c r="B9" s="3706" t="s">
        <v>3507</v>
      </c>
      <c r="C9" s="3707"/>
      <c r="D9" s="3706" t="s">
        <v>3512</v>
      </c>
      <c r="E9" s="3707">
        <v>5542.79</v>
      </c>
      <c r="F9" s="3707">
        <v>0</v>
      </c>
      <c r="G9" s="3707"/>
      <c r="I9" s="2988" t="s">
        <v>3425</v>
      </c>
      <c r="J9">
        <f>M42</f>
        <v>501.98</v>
      </c>
    </row>
    <row r="10" spans="1:16">
      <c r="A10" s="3707">
        <v>8</v>
      </c>
      <c r="B10" s="3706" t="s">
        <v>3508</v>
      </c>
      <c r="C10" s="3707"/>
      <c r="D10" s="3706" t="s">
        <v>3512</v>
      </c>
      <c r="E10" s="3707">
        <v>9150.02</v>
      </c>
      <c r="F10" s="3707">
        <v>0</v>
      </c>
      <c r="G10" s="3707"/>
      <c r="J10">
        <f>SUM(J3:J9)</f>
        <v>127861.33</v>
      </c>
    </row>
    <row r="11" spans="1:16">
      <c r="A11" s="3707">
        <v>9</v>
      </c>
      <c r="B11" s="3706" t="s">
        <v>3509</v>
      </c>
      <c r="C11" s="3707"/>
      <c r="D11" s="3706" t="s">
        <v>3513</v>
      </c>
      <c r="E11" s="3707">
        <v>7746.38</v>
      </c>
      <c r="F11" s="3707">
        <v>0</v>
      </c>
      <c r="G11" s="3707"/>
    </row>
    <row r="12" spans="1:16">
      <c r="A12" s="3707">
        <v>10</v>
      </c>
      <c r="B12" s="3706" t="s">
        <v>3510</v>
      </c>
      <c r="C12" s="3707"/>
      <c r="D12" s="3706" t="s">
        <v>3513</v>
      </c>
      <c r="E12" s="3707">
        <v>7746.38</v>
      </c>
      <c r="F12" s="3707">
        <v>0</v>
      </c>
      <c r="G12" s="3707"/>
    </row>
    <row r="13" spans="1:16">
      <c r="A13" s="3707">
        <v>11</v>
      </c>
      <c r="B13" s="3706" t="s">
        <v>3511</v>
      </c>
      <c r="C13" s="3707"/>
      <c r="D13" s="3706" t="s">
        <v>3512</v>
      </c>
      <c r="E13" s="3707">
        <v>13847.47</v>
      </c>
      <c r="F13" s="3707">
        <v>0</v>
      </c>
      <c r="G13" s="3707"/>
    </row>
    <row r="14" spans="1:16">
      <c r="A14" s="3707">
        <v>12</v>
      </c>
      <c r="B14" s="3706" t="s">
        <v>3514</v>
      </c>
      <c r="C14" s="3707"/>
      <c r="D14" s="3706" t="s">
        <v>3513</v>
      </c>
      <c r="E14" s="3707">
        <v>8544.7000000000007</v>
      </c>
      <c r="F14" s="3707">
        <v>0</v>
      </c>
      <c r="G14" s="3707"/>
    </row>
    <row r="15" spans="1:16">
      <c r="A15" s="3707">
        <v>13</v>
      </c>
      <c r="B15" s="3706" t="s">
        <v>3515</v>
      </c>
      <c r="C15" s="3707"/>
      <c r="D15" s="3706" t="s">
        <v>3513</v>
      </c>
      <c r="E15" s="3707">
        <v>8004.2</v>
      </c>
      <c r="F15" s="3707">
        <v>0</v>
      </c>
      <c r="G15" s="3707"/>
    </row>
    <row r="16" spans="1:16">
      <c r="A16" s="3707">
        <v>14</v>
      </c>
      <c r="B16" s="3706" t="s">
        <v>3516</v>
      </c>
      <c r="C16" s="3707"/>
      <c r="D16" s="3706" t="s">
        <v>3512</v>
      </c>
      <c r="E16" s="3707">
        <v>9150.02</v>
      </c>
      <c r="F16" s="3707">
        <v>0</v>
      </c>
      <c r="G16" s="3707"/>
    </row>
    <row r="17" spans="1:13">
      <c r="A17" s="3707">
        <v>15</v>
      </c>
      <c r="B17" s="3706" t="s">
        <v>3517</v>
      </c>
      <c r="C17" s="3707"/>
      <c r="D17" s="3706" t="s">
        <v>3512</v>
      </c>
      <c r="E17" s="3707">
        <v>8867.75</v>
      </c>
      <c r="F17" s="3707">
        <v>0</v>
      </c>
      <c r="G17" s="3707"/>
    </row>
    <row r="18" spans="1:13">
      <c r="A18" s="3707"/>
      <c r="B18" s="3707"/>
      <c r="C18" s="3707"/>
      <c r="D18" s="3707"/>
      <c r="E18" s="3707">
        <f>SUM(E3:E17)</f>
        <v>95299.400000000009</v>
      </c>
      <c r="F18" s="3707">
        <f>SUM(F3:F17)</f>
        <v>32561.93</v>
      </c>
      <c r="G18" s="3707"/>
    </row>
    <row r="23" spans="1:13">
      <c r="L23" s="2988" t="s">
        <v>3399</v>
      </c>
      <c r="M23">
        <v>39137.980000000003</v>
      </c>
    </row>
    <row r="24" spans="1:13">
      <c r="L24" s="2988" t="s">
        <v>3400</v>
      </c>
      <c r="M24">
        <f>M25+M40</f>
        <v>127861.33000000002</v>
      </c>
    </row>
    <row r="25" spans="1:13">
      <c r="L25" s="2988" t="s">
        <v>3401</v>
      </c>
      <c r="M25">
        <f>M26+M36</f>
        <v>95299.400000000009</v>
      </c>
    </row>
    <row r="26" spans="1:13">
      <c r="L26" s="2988" t="s">
        <v>3402</v>
      </c>
      <c r="M26" s="2988">
        <f>M27+M34</f>
        <v>93539.46</v>
      </c>
    </row>
    <row r="27" spans="1:13">
      <c r="L27" s="2988" t="s">
        <v>3403</v>
      </c>
      <c r="M27">
        <f>SUM(M28:M32)</f>
        <v>77916.88</v>
      </c>
    </row>
    <row r="28" spans="1:13">
      <c r="L28" s="2988" t="s">
        <v>3404</v>
      </c>
      <c r="M28">
        <v>77355.81</v>
      </c>
    </row>
    <row r="29" spans="1:13">
      <c r="L29" s="2988" t="s">
        <v>3405</v>
      </c>
      <c r="M29">
        <v>354.84</v>
      </c>
    </row>
    <row r="30" spans="1:13">
      <c r="L30" s="2988" t="s">
        <v>3420</v>
      </c>
    </row>
    <row r="31" spans="1:13">
      <c r="L31" s="2988" t="s">
        <v>3406</v>
      </c>
      <c r="M31">
        <v>80.349999999999994</v>
      </c>
    </row>
    <row r="32" spans="1:13">
      <c r="L32" s="2988" t="s">
        <v>3407</v>
      </c>
      <c r="M32">
        <v>125.88</v>
      </c>
    </row>
    <row r="33" spans="12:13">
      <c r="L33" s="2988" t="s">
        <v>3408</v>
      </c>
      <c r="M33">
        <f>M34</f>
        <v>15622.58</v>
      </c>
    </row>
    <row r="34" spans="12:13">
      <c r="L34" s="2988" t="s">
        <v>3409</v>
      </c>
      <c r="M34">
        <v>15622.58</v>
      </c>
    </row>
    <row r="35" spans="12:13">
      <c r="L35" s="2988" t="s">
        <v>3420</v>
      </c>
    </row>
    <row r="36" spans="12:13">
      <c r="L36" s="2988" t="s">
        <v>3410</v>
      </c>
      <c r="M36">
        <f>M37+M38</f>
        <v>1759.9399999999998</v>
      </c>
    </row>
    <row r="37" spans="12:13">
      <c r="L37" s="2988" t="s">
        <v>3411</v>
      </c>
      <c r="M37">
        <v>1750.62</v>
      </c>
    </row>
    <row r="38" spans="12:13">
      <c r="L38" s="2988" t="s">
        <v>3412</v>
      </c>
      <c r="M38">
        <v>9.32</v>
      </c>
    </row>
    <row r="39" spans="12:13">
      <c r="L39" s="2988" t="s">
        <v>3421</v>
      </c>
    </row>
    <row r="40" spans="12:13">
      <c r="L40" s="2988" t="s">
        <v>3413</v>
      </c>
      <c r="M40">
        <f>M41+M42</f>
        <v>32561.93</v>
      </c>
    </row>
    <row r="41" spans="12:13">
      <c r="L41" s="2988" t="s">
        <v>3414</v>
      </c>
      <c r="M41">
        <v>32059.95</v>
      </c>
    </row>
    <row r="42" spans="12:13">
      <c r="L42" s="2988" t="s">
        <v>3415</v>
      </c>
      <c r="M42">
        <v>501.98</v>
      </c>
    </row>
    <row r="43" spans="12:13">
      <c r="L43" s="2988" t="s">
        <v>3421</v>
      </c>
    </row>
    <row r="44" spans="12:13">
      <c r="L44" s="2988" t="s">
        <v>3416</v>
      </c>
      <c r="M44">
        <v>2.39</v>
      </c>
    </row>
    <row r="45" spans="12:13">
      <c r="L45" s="2988" t="s">
        <v>3417</v>
      </c>
      <c r="M45">
        <v>11692.06</v>
      </c>
    </row>
    <row r="51" spans="12:14">
      <c r="L51" s="2988" t="s">
        <v>3418</v>
      </c>
    </row>
    <row r="55" spans="12:14">
      <c r="L55" s="2988" t="s">
        <v>3419</v>
      </c>
      <c r="M55">
        <v>893</v>
      </c>
      <c r="N55">
        <f>M55-102</f>
        <v>791</v>
      </c>
    </row>
  </sheetData>
  <mergeCells count="5">
    <mergeCell ref="E1:F1"/>
    <mergeCell ref="A1:A2"/>
    <mergeCell ref="B1:B2"/>
    <mergeCell ref="C1:C2"/>
    <mergeCell ref="D1:D2"/>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topLeftCell="A19" workbookViewId="0">
      <selection activeCell="G49" sqref="G49"/>
    </sheetView>
  </sheetViews>
  <sheetFormatPr defaultRowHeight="13.5"/>
  <cols>
    <col min="10" max="10" width="6.75" customWidth="1"/>
  </cols>
  <sheetData>
    <row r="1" spans="1:10" ht="14.25" thickBot="1">
      <c r="A1" s="3799" t="s">
        <v>1726</v>
      </c>
      <c r="B1" s="3799" t="s">
        <v>3519</v>
      </c>
      <c r="C1" s="3799" t="s">
        <v>3520</v>
      </c>
      <c r="D1" s="3801" t="s">
        <v>2202</v>
      </c>
      <c r="E1" s="3802"/>
      <c r="F1" s="3708" t="s">
        <v>3241</v>
      </c>
    </row>
    <row r="2" spans="1:10" ht="14.25" thickBot="1">
      <c r="A2" s="3800"/>
      <c r="B2" s="3800"/>
      <c r="C2" s="3800"/>
      <c r="D2" s="3709" t="s">
        <v>3263</v>
      </c>
      <c r="E2" s="3709" t="s">
        <v>3265</v>
      </c>
      <c r="F2" s="3709"/>
    </row>
    <row r="3" spans="1:10" ht="41.25" customHeight="1" thickBot="1">
      <c r="A3" s="3710">
        <v>1</v>
      </c>
      <c r="B3" s="3711" t="s">
        <v>3521</v>
      </c>
      <c r="C3" s="3711" t="s">
        <v>3522</v>
      </c>
      <c r="D3" s="3712">
        <v>8867.75</v>
      </c>
      <c r="E3" s="3712">
        <v>0</v>
      </c>
      <c r="F3" s="3709"/>
      <c r="J3" s="3803" t="s">
        <v>3548</v>
      </c>
    </row>
    <row r="4" spans="1:10" ht="26.25" thickBot="1">
      <c r="A4" s="3710">
        <v>2</v>
      </c>
      <c r="B4" s="3711" t="s">
        <v>3523</v>
      </c>
      <c r="C4" s="3711" t="s">
        <v>3524</v>
      </c>
      <c r="D4" s="3712">
        <v>8004.2</v>
      </c>
      <c r="E4" s="3712">
        <v>0</v>
      </c>
      <c r="F4" s="3709"/>
      <c r="J4" s="3803"/>
    </row>
    <row r="5" spans="1:10" ht="26.25" thickBot="1">
      <c r="A5" s="3710">
        <v>3</v>
      </c>
      <c r="B5" s="3711" t="s">
        <v>3525</v>
      </c>
      <c r="C5" s="3711" t="s">
        <v>3524</v>
      </c>
      <c r="D5" s="3712">
        <v>8544.7000000000007</v>
      </c>
      <c r="E5" s="3712">
        <v>0</v>
      </c>
      <c r="F5" s="3709"/>
      <c r="J5" s="3803"/>
    </row>
    <row r="6" spans="1:10" ht="26.25" thickBot="1">
      <c r="A6" s="3710">
        <v>4</v>
      </c>
      <c r="B6" s="3711" t="s">
        <v>3526</v>
      </c>
      <c r="C6" s="3711" t="s">
        <v>3522</v>
      </c>
      <c r="D6" s="3712">
        <v>13847.47</v>
      </c>
      <c r="E6" s="3712">
        <v>0</v>
      </c>
      <c r="F6" s="3709"/>
      <c r="J6" s="3803"/>
    </row>
    <row r="7" spans="1:10" ht="26.25" thickBot="1">
      <c r="A7" s="3710">
        <v>5</v>
      </c>
      <c r="B7" s="3711" t="s">
        <v>3527</v>
      </c>
      <c r="C7" s="3711" t="s">
        <v>3524</v>
      </c>
      <c r="D7" s="3712">
        <v>7746.38</v>
      </c>
      <c r="E7" s="3712">
        <v>0</v>
      </c>
      <c r="F7" s="3709"/>
    </row>
    <row r="8" spans="1:10" ht="26.25" thickBot="1">
      <c r="A8" s="3710">
        <v>6</v>
      </c>
      <c r="B8" s="3711" t="s">
        <v>3528</v>
      </c>
      <c r="C8" s="3711" t="s">
        <v>3524</v>
      </c>
      <c r="D8" s="3712">
        <v>7746.38</v>
      </c>
      <c r="E8" s="3712">
        <v>0</v>
      </c>
      <c r="F8" s="3709"/>
      <c r="J8" s="2988" t="s">
        <v>3549</v>
      </c>
    </row>
    <row r="9" spans="1:10" ht="26.25" thickBot="1">
      <c r="A9" s="3710">
        <v>7</v>
      </c>
      <c r="B9" s="3711" t="s">
        <v>3529</v>
      </c>
      <c r="C9" s="3711" t="s">
        <v>3522</v>
      </c>
      <c r="D9" s="3712">
        <v>9150.02</v>
      </c>
      <c r="E9" s="3712">
        <v>0</v>
      </c>
      <c r="F9" s="3709"/>
    </row>
    <row r="10" spans="1:10" ht="26.25" thickBot="1">
      <c r="A10" s="3710">
        <v>8</v>
      </c>
      <c r="B10" s="3711" t="s">
        <v>3530</v>
      </c>
      <c r="C10" s="3711" t="s">
        <v>3522</v>
      </c>
      <c r="D10" s="3712">
        <v>5542.79</v>
      </c>
      <c r="E10" s="3712">
        <v>0</v>
      </c>
      <c r="F10" s="3709"/>
    </row>
    <row r="11" spans="1:10" ht="26.25" thickBot="1">
      <c r="A11" s="3710">
        <v>9</v>
      </c>
      <c r="B11" s="3711" t="s">
        <v>3531</v>
      </c>
      <c r="C11" s="3711" t="s">
        <v>3522</v>
      </c>
      <c r="D11" s="3712">
        <v>5570.98</v>
      </c>
      <c r="E11" s="3712">
        <v>0</v>
      </c>
      <c r="F11" s="3709"/>
    </row>
    <row r="12" spans="1:10" ht="26.25" thickBot="1">
      <c r="A12" s="3710">
        <v>10</v>
      </c>
      <c r="B12" s="3711" t="s">
        <v>3532</v>
      </c>
      <c r="C12" s="3711" t="s">
        <v>3522</v>
      </c>
      <c r="D12" s="3712">
        <v>9150.02</v>
      </c>
      <c r="E12" s="3712">
        <v>0</v>
      </c>
      <c r="F12" s="3709"/>
    </row>
    <row r="13" spans="1:10" ht="26.25" thickBot="1">
      <c r="A13" s="3710">
        <v>11</v>
      </c>
      <c r="B13" s="3711" t="s">
        <v>3533</v>
      </c>
      <c r="C13" s="3711" t="s">
        <v>3534</v>
      </c>
      <c r="D13" s="3712">
        <v>2256.9299999999998</v>
      </c>
      <c r="E13" s="3712">
        <v>0</v>
      </c>
      <c r="F13" s="3709"/>
    </row>
    <row r="14" spans="1:10" ht="26.25" thickBot="1">
      <c r="A14" s="3710">
        <v>12</v>
      </c>
      <c r="B14" s="3711" t="s">
        <v>3535</v>
      </c>
      <c r="C14" s="3711" t="s">
        <v>3534</v>
      </c>
      <c r="D14" s="3712">
        <v>1490.65</v>
      </c>
      <c r="E14" s="3712">
        <v>0</v>
      </c>
      <c r="F14" s="3709"/>
    </row>
    <row r="15" spans="1:10" ht="26.25" thickBot="1">
      <c r="A15" s="3710">
        <v>13</v>
      </c>
      <c r="B15" s="3711" t="s">
        <v>3536</v>
      </c>
      <c r="C15" s="3711" t="s">
        <v>3534</v>
      </c>
      <c r="D15" s="3712">
        <v>3654.53</v>
      </c>
      <c r="E15" s="3712">
        <v>0</v>
      </c>
      <c r="F15" s="3709"/>
    </row>
    <row r="16" spans="1:10" ht="14.25" thickBot="1">
      <c r="A16" s="3713">
        <v>14</v>
      </c>
      <c r="B16" s="3712" t="s">
        <v>3537</v>
      </c>
      <c r="C16" s="3712" t="s">
        <v>3534</v>
      </c>
      <c r="D16" s="3712">
        <v>3726.6</v>
      </c>
      <c r="E16" s="3712">
        <v>0</v>
      </c>
      <c r="F16" s="3709"/>
    </row>
    <row r="17" spans="1:6" ht="14.25" thickBot="1">
      <c r="A17" s="3713">
        <v>15</v>
      </c>
      <c r="B17" s="3709" t="s">
        <v>3504</v>
      </c>
      <c r="C17" s="3712" t="s">
        <v>3538</v>
      </c>
      <c r="D17" s="3712">
        <v>0</v>
      </c>
      <c r="E17" s="3712">
        <v>32561.93</v>
      </c>
      <c r="F17" s="3709"/>
    </row>
    <row r="18" spans="1:6" ht="14.25" thickBot="1">
      <c r="A18" s="3714" t="s">
        <v>877</v>
      </c>
      <c r="B18" s="3709" t="s">
        <v>877</v>
      </c>
      <c r="C18" s="3709"/>
      <c r="D18" s="3712">
        <f>SUM(D3:D17)</f>
        <v>95299.39999999998</v>
      </c>
      <c r="E18" s="3712">
        <f>SUM(E3:E17)</f>
        <v>32561.93</v>
      </c>
      <c r="F18" s="3709"/>
    </row>
    <row r="45" spans="3:12" ht="14.25" thickBot="1"/>
    <row r="46" spans="3:12" ht="14.25" thickBot="1">
      <c r="C46" s="3794" t="s">
        <v>3563</v>
      </c>
      <c r="D46" s="3794" t="s">
        <v>3564</v>
      </c>
      <c r="E46" s="3796" t="s">
        <v>3263</v>
      </c>
      <c r="F46" s="3797"/>
      <c r="G46" s="3797"/>
      <c r="H46" s="3797"/>
      <c r="I46" s="3798"/>
      <c r="J46" s="3796" t="s">
        <v>3265</v>
      </c>
      <c r="K46" s="3797"/>
      <c r="L46" s="3798"/>
    </row>
    <row r="47" spans="3:12" ht="23.25" thickBot="1">
      <c r="C47" s="3795"/>
      <c r="D47" s="3795"/>
      <c r="E47" s="3717" t="s">
        <v>16</v>
      </c>
      <c r="F47" s="3717" t="s">
        <v>851</v>
      </c>
      <c r="G47" s="3717" t="s">
        <v>2733</v>
      </c>
      <c r="H47" s="3717" t="s">
        <v>3565</v>
      </c>
      <c r="I47" s="3717" t="s">
        <v>1670</v>
      </c>
      <c r="J47" s="3717" t="s">
        <v>16</v>
      </c>
      <c r="K47" s="3717" t="s">
        <v>3566</v>
      </c>
      <c r="L47" s="3717" t="s">
        <v>1670</v>
      </c>
    </row>
    <row r="48" spans="3:12" ht="14.25" thickBot="1">
      <c r="C48" s="3718" t="s">
        <v>3567</v>
      </c>
      <c r="D48" s="3717">
        <f>E48+J48</f>
        <v>125038.34</v>
      </c>
      <c r="E48" s="3717">
        <f>SUM(F48:I48)</f>
        <v>92978.39</v>
      </c>
      <c r="F48" s="3717">
        <v>77355.81</v>
      </c>
      <c r="G48" s="3717">
        <v>15622.58</v>
      </c>
      <c r="H48" s="3717">
        <v>0</v>
      </c>
      <c r="I48" s="3717">
        <v>0</v>
      </c>
      <c r="J48" s="3717">
        <f>SUM(K48:L48)</f>
        <v>32059.95</v>
      </c>
      <c r="K48" s="3717">
        <v>32059.95</v>
      </c>
      <c r="L48" s="3717">
        <v>0</v>
      </c>
    </row>
    <row r="49" spans="3:12" ht="14.25" thickBot="1">
      <c r="C49" s="3718" t="s">
        <v>3568</v>
      </c>
      <c r="D49" s="3717">
        <f>E49+J49</f>
        <v>2822.9900000000002</v>
      </c>
      <c r="E49" s="3717">
        <f>SUM(F49:I49)</f>
        <v>2321.0100000000002</v>
      </c>
      <c r="F49" s="3717">
        <v>0</v>
      </c>
      <c r="G49" s="3717">
        <v>0</v>
      </c>
      <c r="H49" s="3717">
        <v>561.07000000000005</v>
      </c>
      <c r="I49" s="3717">
        <v>1759.94</v>
      </c>
      <c r="J49" s="3717">
        <f>SUM(K49:L49)</f>
        <v>501.98</v>
      </c>
      <c r="K49" s="3717">
        <v>0</v>
      </c>
      <c r="L49" s="3717">
        <v>501.98</v>
      </c>
    </row>
  </sheetData>
  <mergeCells count="9">
    <mergeCell ref="C46:C47"/>
    <mergeCell ref="D46:D47"/>
    <mergeCell ref="E46:I46"/>
    <mergeCell ref="J46:L46"/>
    <mergeCell ref="A1:A2"/>
    <mergeCell ref="B1:B2"/>
    <mergeCell ref="C1:C2"/>
    <mergeCell ref="D1:E1"/>
    <mergeCell ref="J3:J6"/>
  </mergeCells>
  <phoneticPr fontId="22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70" zoomScaleSheetLayoutView="90" workbookViewId="0">
      <selection activeCell="E27" sqref="E27"/>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13" t="s">
        <v>169</v>
      </c>
      <c r="B2" s="3813"/>
      <c r="C2" s="3813"/>
      <c r="D2" s="1728" t="s">
        <v>170</v>
      </c>
      <c r="E2" s="102" t="s">
        <v>171</v>
      </c>
      <c r="F2" s="2824"/>
      <c r="G2" s="1095"/>
      <c r="H2" s="1096"/>
      <c r="I2" s="1097" t="s">
        <v>795</v>
      </c>
      <c r="J2" s="2824"/>
      <c r="K2" s="2824"/>
      <c r="L2" s="2824"/>
      <c r="M2" s="2824"/>
      <c r="N2" s="2824"/>
      <c r="O2" s="2824"/>
      <c r="P2" s="2824"/>
    </row>
    <row r="3" spans="1:16" ht="15.75" thickBot="1">
      <c r="A3" s="3814" t="s">
        <v>172</v>
      </c>
      <c r="B3" s="3814"/>
      <c r="C3" s="3814"/>
      <c r="D3" s="103">
        <f>'数据-基础表'!AY6</f>
        <v>39137.980000000003</v>
      </c>
      <c r="E3" s="103">
        <f>'数据-基础表'!AZ5</f>
        <v>127861.33</v>
      </c>
      <c r="F3" s="2824"/>
      <c r="G3" s="271" t="s">
        <v>796</v>
      </c>
      <c r="H3" s="266" t="s">
        <v>797</v>
      </c>
      <c r="I3" s="1729">
        <f>ROUND('数据-基础表'!B3/'数据-基础表'!A3,2)</f>
        <v>3.27</v>
      </c>
      <c r="J3" s="2824"/>
      <c r="K3" s="2824"/>
      <c r="L3" s="2824"/>
      <c r="M3" s="2824"/>
      <c r="N3" s="2824"/>
      <c r="O3" s="2824"/>
      <c r="P3" s="2824"/>
    </row>
    <row r="4" spans="1:16" ht="15">
      <c r="A4" s="3815"/>
      <c r="B4" s="3816"/>
      <c r="C4" s="3817"/>
      <c r="D4" s="104" t="s">
        <v>170</v>
      </c>
      <c r="E4" s="105" t="s">
        <v>171</v>
      </c>
      <c r="F4" s="2824"/>
      <c r="G4" s="1098"/>
      <c r="H4" s="266" t="s">
        <v>798</v>
      </c>
      <c r="I4" s="1729">
        <f>ROUND(SUMIF('数据-基础表'!I9:AS9,"地上",'数据-基础表'!I5:AS5)/'数据-基础表'!A3,2)</f>
        <v>2.4300000000000002</v>
      </c>
      <c r="J4" s="2824"/>
      <c r="K4" s="2824"/>
      <c r="L4" s="2824"/>
      <c r="M4" s="2824"/>
      <c r="N4" s="2824"/>
      <c r="O4" s="2824"/>
      <c r="P4" s="2824"/>
    </row>
    <row r="5" spans="1:16">
      <c r="A5" s="106" t="s">
        <v>173</v>
      </c>
      <c r="B5" s="3818" t="s">
        <v>196</v>
      </c>
      <c r="C5" s="3818"/>
      <c r="D5" s="107">
        <f>ROUND($D$3*E5/$E$3,2)</f>
        <v>23678.39</v>
      </c>
      <c r="E5" s="108">
        <f>SUMIF('数据-基础表'!$11:$11,"住宅",'数据-基础表'!$5:$5)</f>
        <v>77355.81</v>
      </c>
      <c r="F5" s="2824"/>
      <c r="G5" s="271" t="s">
        <v>799</v>
      </c>
      <c r="H5" s="266" t="s">
        <v>797</v>
      </c>
      <c r="I5" s="1729">
        <f>ROUND(E31/D31,2)</f>
        <v>3.27</v>
      </c>
      <c r="J5" s="2824"/>
      <c r="K5" s="2824"/>
      <c r="L5" s="2824"/>
      <c r="M5" s="2824"/>
      <c r="N5" s="2824"/>
      <c r="O5" s="2824"/>
      <c r="P5" s="2824"/>
    </row>
    <row r="6" spans="1:16" ht="15" thickBot="1">
      <c r="A6" s="109"/>
      <c r="B6" s="3818" t="s">
        <v>174</v>
      </c>
      <c r="C6" s="3818"/>
      <c r="D6" s="107">
        <f>ROUND($D$3*E6/$E$3,2)</f>
        <v>15459.59</v>
      </c>
      <c r="E6" s="108">
        <f>E3-E5</f>
        <v>50505.520000000004</v>
      </c>
      <c r="F6" s="2824"/>
      <c r="G6" s="1098"/>
      <c r="H6" s="266" t="s">
        <v>798</v>
      </c>
      <c r="I6" s="1729">
        <f>ROUND(F31/D31,2)</f>
        <v>2.4300000000000002</v>
      </c>
      <c r="J6" s="2824"/>
      <c r="K6" s="2824"/>
      <c r="L6" s="2824"/>
      <c r="M6" s="2824"/>
      <c r="N6" s="2824"/>
      <c r="O6" s="2824"/>
      <c r="P6" s="2824"/>
    </row>
    <row r="7" spans="1:16" ht="15">
      <c r="A7" s="3810"/>
      <c r="B7" s="3811"/>
      <c r="C7" s="3812"/>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28460.41</v>
      </c>
      <c r="E8" s="112">
        <f>SUMIF('数据-基础表'!BB10:BK10,"地上",'数据-基础表'!BB5:BK5)</f>
        <v>92978.39</v>
      </c>
      <c r="F8" s="2824"/>
      <c r="G8" s="2825"/>
      <c r="H8" s="2825"/>
      <c r="I8" s="2824"/>
      <c r="J8" s="2824"/>
      <c r="K8" s="2824"/>
      <c r="L8" s="2824"/>
      <c r="M8" s="2824"/>
      <c r="N8" s="2824"/>
      <c r="O8" s="2824"/>
      <c r="P8" s="2824"/>
    </row>
    <row r="9" spans="1:16">
      <c r="A9" s="113"/>
      <c r="B9" s="114"/>
      <c r="C9" s="107" t="s">
        <v>178</v>
      </c>
      <c r="D9" s="107">
        <f t="shared" si="0"/>
        <v>0</v>
      </c>
      <c r="E9" s="115"/>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1681</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1688</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28460.41</v>
      </c>
      <c r="E16" s="116">
        <f>SUM(E8:E15)</f>
        <v>92978.39</v>
      </c>
      <c r="F16" s="2824"/>
      <c r="G16" s="2825"/>
      <c r="H16" s="929" t="s">
        <v>185</v>
      </c>
      <c r="I16" s="930"/>
      <c r="J16" s="1737"/>
      <c r="K16" s="3804" t="s">
        <v>1846</v>
      </c>
      <c r="L16" s="3805"/>
      <c r="M16" s="3805"/>
      <c r="N16" s="3805"/>
      <c r="O16" s="3805"/>
      <c r="P16" s="3806"/>
    </row>
    <row r="17" spans="1:19" ht="15">
      <c r="A17" s="117" t="s">
        <v>182</v>
      </c>
      <c r="B17" s="118" t="s">
        <v>183</v>
      </c>
      <c r="C17" s="2015" t="s">
        <v>1669</v>
      </c>
      <c r="D17" s="104" t="s">
        <v>170</v>
      </c>
      <c r="E17" s="120" t="s">
        <v>171</v>
      </c>
      <c r="F17" s="121"/>
      <c r="G17" s="1224"/>
      <c r="H17" s="931" t="s">
        <v>184</v>
      </c>
      <c r="I17" s="932" t="s">
        <v>1668</v>
      </c>
      <c r="J17" s="1737"/>
      <c r="K17" s="3807" t="s">
        <v>1847</v>
      </c>
      <c r="L17" s="3808"/>
      <c r="M17" s="3809"/>
      <c r="N17" s="3807" t="s">
        <v>1848</v>
      </c>
      <c r="O17" s="3808"/>
      <c r="P17" s="3809"/>
      <c r="R17" s="2016" t="s">
        <v>1667</v>
      </c>
      <c r="S17" s="137"/>
    </row>
    <row r="18" spans="1:19" ht="15">
      <c r="A18" s="113"/>
      <c r="B18" s="124"/>
      <c r="C18" s="125"/>
      <c r="D18" s="2246"/>
      <c r="E18" s="126" t="s">
        <v>186</v>
      </c>
      <c r="F18" s="127" t="s">
        <v>187</v>
      </c>
      <c r="G18" s="1225" t="s">
        <v>188</v>
      </c>
      <c r="H18" s="933" t="s">
        <v>189</v>
      </c>
      <c r="I18" s="934" t="s">
        <v>190</v>
      </c>
      <c r="J18" s="1737"/>
      <c r="K18" s="2211" t="s">
        <v>1849</v>
      </c>
      <c r="L18" s="2212" t="s">
        <v>1850</v>
      </c>
      <c r="M18" s="2213" t="s">
        <v>1851</v>
      </c>
      <c r="N18" s="2211" t="s">
        <v>1849</v>
      </c>
      <c r="O18" s="2212" t="s">
        <v>1850</v>
      </c>
      <c r="P18" s="2213" t="s">
        <v>1851</v>
      </c>
      <c r="R18" s="2017" t="s">
        <v>1665</v>
      </c>
      <c r="S18" s="2017" t="s">
        <v>1666</v>
      </c>
    </row>
    <row r="19" spans="1:19">
      <c r="A19" s="129"/>
      <c r="B19" s="111" t="s">
        <v>191</v>
      </c>
      <c r="C19" s="2496" t="s">
        <v>3268</v>
      </c>
      <c r="D19" s="107">
        <f t="shared" ref="D19:D26" si="1">ROUND($D$3*E19/$E$3,2)</f>
        <v>23678.39</v>
      </c>
      <c r="E19" s="130">
        <f t="shared" ref="E19:E26" si="2">SUM(F19:G19)</f>
        <v>77355.81</v>
      </c>
      <c r="F19" s="2826">
        <f>'数据-基础表'!I5</f>
        <v>77355.81</v>
      </c>
      <c r="G19" s="2827"/>
      <c r="H19" s="935">
        <f>ROUND($D$3*I19/$E$3,2)</f>
        <v>8912.34</v>
      </c>
      <c r="I19" s="112">
        <f>IF($I$17="自定义",P19,M19)</f>
        <v>29116.05</v>
      </c>
      <c r="J19" s="1737"/>
      <c r="K19" s="2214">
        <f t="shared" ref="K19:K26" si="3">ROUND(E$28*E19/E$27,2)</f>
        <v>28554.98</v>
      </c>
      <c r="L19" s="266">
        <f t="shared" ref="L19:L26" si="4">ROUND(IF(COUNTIF(C19,"*住宅*")&gt;0,E$29*E19/E$32,0),2)</f>
        <v>561.07000000000005</v>
      </c>
      <c r="M19" s="2215">
        <f>K19+L19</f>
        <v>29116.05</v>
      </c>
      <c r="N19" s="2216"/>
      <c r="O19" s="2217"/>
      <c r="P19" s="2218">
        <f>N19+O19</f>
        <v>0</v>
      </c>
      <c r="R19" s="266">
        <f t="shared" ref="R19:S26" si="5">D19+H19</f>
        <v>32590.73</v>
      </c>
      <c r="S19" s="2018">
        <f t="shared" si="5"/>
        <v>106471.86</v>
      </c>
    </row>
    <row r="20" spans="1:19">
      <c r="A20" s="133"/>
      <c r="B20" s="111" t="s">
        <v>192</v>
      </c>
      <c r="C20" s="2496" t="s">
        <v>3483</v>
      </c>
      <c r="D20" s="107">
        <f t="shared" si="1"/>
        <v>3406.47</v>
      </c>
      <c r="E20" s="130">
        <f t="shared" si="2"/>
        <v>11128.710000000001</v>
      </c>
      <c r="F20" s="2826">
        <f>'数据-基础表'!M5</f>
        <v>11128.710000000001</v>
      </c>
      <c r="G20" s="2827"/>
      <c r="H20" s="935">
        <f t="shared" ref="H20:H26" si="6">ROUND($D$3*I20/$E$3,2)</f>
        <v>1257.46</v>
      </c>
      <c r="I20" s="112">
        <f t="shared" ref="I20:I26" si="7">IF($I$17="自定义",P20,M20)</f>
        <v>4108.03</v>
      </c>
      <c r="J20" s="1737"/>
      <c r="K20" s="2214">
        <f t="shared" si="3"/>
        <v>4108.03</v>
      </c>
      <c r="L20" s="266">
        <f t="shared" si="4"/>
        <v>0</v>
      </c>
      <c r="M20" s="2215">
        <f t="shared" ref="M20:M26" si="8">K20+L20</f>
        <v>4108.03</v>
      </c>
      <c r="N20" s="2216"/>
      <c r="O20" s="2217"/>
      <c r="P20" s="2218">
        <f t="shared" ref="P20:P26" si="9">N20+O20</f>
        <v>0</v>
      </c>
      <c r="R20" s="266">
        <f t="shared" si="5"/>
        <v>4663.93</v>
      </c>
      <c r="S20" s="2018">
        <f t="shared" si="5"/>
        <v>15236.740000000002</v>
      </c>
    </row>
    <row r="21" spans="1:19">
      <c r="A21" s="133"/>
      <c r="B21" s="111" t="s">
        <v>192</v>
      </c>
      <c r="C21" s="2496" t="s">
        <v>3430</v>
      </c>
      <c r="D21" s="107">
        <f t="shared" si="1"/>
        <v>1375.56</v>
      </c>
      <c r="E21" s="130">
        <f t="shared" si="2"/>
        <v>4493.869999999999</v>
      </c>
      <c r="F21" s="2826">
        <f>'数据-基础表'!O5</f>
        <v>4493.869999999999</v>
      </c>
      <c r="G21" s="2827"/>
      <c r="H21" s="935">
        <f t="shared" si="6"/>
        <v>507.77</v>
      </c>
      <c r="I21" s="112">
        <f t="shared" si="7"/>
        <v>1658.86</v>
      </c>
      <c r="J21" s="1737"/>
      <c r="K21" s="2214">
        <f t="shared" si="3"/>
        <v>1658.86</v>
      </c>
      <c r="L21" s="266">
        <f t="shared" si="4"/>
        <v>0</v>
      </c>
      <c r="M21" s="2215">
        <f t="shared" si="8"/>
        <v>1658.86</v>
      </c>
      <c r="N21" s="2216"/>
      <c r="O21" s="2217"/>
      <c r="P21" s="2218">
        <f t="shared" si="9"/>
        <v>0</v>
      </c>
      <c r="R21" s="266">
        <f t="shared" si="5"/>
        <v>1883.33</v>
      </c>
      <c r="S21" s="2018">
        <f t="shared" si="5"/>
        <v>6152.7299999999987</v>
      </c>
    </row>
    <row r="22" spans="1:19">
      <c r="A22" s="133"/>
      <c r="B22" s="111" t="s">
        <v>192</v>
      </c>
      <c r="C22" s="3336"/>
      <c r="D22" s="107">
        <f t="shared" si="1"/>
        <v>0</v>
      </c>
      <c r="E22" s="130">
        <f t="shared" si="2"/>
        <v>0</v>
      </c>
      <c r="F22" s="2828"/>
      <c r="G22" s="2829"/>
      <c r="H22" s="935">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6"/>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29.25" thickBot="1">
      <c r="A27" s="133"/>
      <c r="B27" s="107"/>
      <c r="C27" s="123" t="s">
        <v>181</v>
      </c>
      <c r="D27" s="130">
        <f>SUM(D19:D26)</f>
        <v>28460.420000000002</v>
      </c>
      <c r="E27" s="136">
        <f>IF(SUM(E19:E26)='数据-基础表'!BA5,SUM(E19:E26),IF(F27="地上面积有误","面积有误","地下面积有误"))</f>
        <v>92978.39</v>
      </c>
      <c r="F27" s="130">
        <f>IF(SUM(F19:F26)=E8,SUM(F19:F26),"地上面积有误")</f>
        <v>92978.39</v>
      </c>
      <c r="G27" s="108">
        <f>SUM(G19:G26)</f>
        <v>0</v>
      </c>
      <c r="H27" s="936">
        <f>SUM(H19:H26)</f>
        <v>10677.57</v>
      </c>
      <c r="I27" s="937">
        <f>SUM(I19:I26)</f>
        <v>34882.94</v>
      </c>
      <c r="J27" s="1737"/>
      <c r="K27" s="2223">
        <f t="shared" ref="K27:P27" si="10">SUM(K19:K26)</f>
        <v>34321.869999999995</v>
      </c>
      <c r="L27" s="2224">
        <f t="shared" si="10"/>
        <v>561.07000000000005</v>
      </c>
      <c r="M27" s="2225">
        <f t="shared" si="10"/>
        <v>34882.94</v>
      </c>
      <c r="N27" s="2223">
        <f t="shared" si="10"/>
        <v>0</v>
      </c>
      <c r="O27" s="2224">
        <f t="shared" si="10"/>
        <v>0</v>
      </c>
      <c r="P27" s="2226">
        <f t="shared" si="10"/>
        <v>0</v>
      </c>
      <c r="R27" s="2022" t="str">
        <f>IF(SUM(R19:R26)=$D$3,SUM(R19:R26),SUM(R19:R26)&amp;"误差"&amp;ROUND(SUM(R19:R26)-$D$3,2))</f>
        <v>39137.99误差0.01</v>
      </c>
      <c r="S27" s="266">
        <f>IF(SUM(S19:S26)=$E$3,SUM(S19:S26),SUM(S19:S26)&amp;"误差"&amp;ROUND(SUM(S19:S26)-E3,2))</f>
        <v>127861.33</v>
      </c>
    </row>
    <row r="28" spans="1:19">
      <c r="A28" s="133"/>
      <c r="B28" s="111" t="s">
        <v>193</v>
      </c>
      <c r="C28" s="131" t="s">
        <v>194</v>
      </c>
      <c r="D28" s="107">
        <f>ROUND($D$3*E28/$E$3,2)</f>
        <v>10505.82</v>
      </c>
      <c r="E28" s="130">
        <f>SUM(F28:G28)</f>
        <v>34321.870000000003</v>
      </c>
      <c r="F28" s="137">
        <f>'数据-基础表'!BQ5+'数据-基础表'!BS5</f>
        <v>1759.9399999999998</v>
      </c>
      <c r="G28" s="138">
        <f>'数据-基础表'!BR5+'数据-基础表'!BT5</f>
        <v>32561.93</v>
      </c>
      <c r="H28" s="2824"/>
      <c r="I28" s="2824"/>
      <c r="J28" s="2824"/>
      <c r="K28" s="2824"/>
      <c r="L28" s="2824"/>
      <c r="M28" s="2824"/>
      <c r="N28" s="2824"/>
      <c r="O28" s="2824"/>
      <c r="P28" s="2824"/>
    </row>
    <row r="29" spans="1:19">
      <c r="A29" s="133"/>
      <c r="B29" s="111" t="s">
        <v>193</v>
      </c>
      <c r="C29" s="2030" t="s">
        <v>1676</v>
      </c>
      <c r="D29" s="107">
        <f>ROUND($D$3*E29/$E$3,2)</f>
        <v>171.74</v>
      </c>
      <c r="E29" s="130">
        <f>SUM(F29:G29)</f>
        <v>561.06999999999994</v>
      </c>
      <c r="F29" s="137">
        <f>'数据-基础表'!BM5+'数据-基础表'!BO5</f>
        <v>561.06999999999994</v>
      </c>
      <c r="G29" s="139">
        <f>'数据-基础表'!BN5+'数据-基础表'!BP5</f>
        <v>0</v>
      </c>
      <c r="H29" s="2824"/>
      <c r="I29" s="2824"/>
      <c r="J29" s="2824"/>
      <c r="K29" s="2824"/>
      <c r="L29" s="2824"/>
      <c r="M29" s="2824"/>
      <c r="N29" s="2824"/>
      <c r="O29" s="2824"/>
      <c r="P29" s="2824"/>
    </row>
    <row r="30" spans="1:19">
      <c r="A30" s="133"/>
      <c r="B30" s="107"/>
      <c r="C30" s="140" t="s">
        <v>181</v>
      </c>
      <c r="D30" s="130">
        <f>SUM(D28:D29)</f>
        <v>10677.56</v>
      </c>
      <c r="E30" s="130">
        <f>SUM(E28:E29)</f>
        <v>34882.94</v>
      </c>
      <c r="F30" s="130">
        <f>SUM(F28:F29)</f>
        <v>2321.0099999999998</v>
      </c>
      <c r="G30" s="108">
        <f>SUM(G28:G29)</f>
        <v>32561.93</v>
      </c>
      <c r="H30" s="2824"/>
      <c r="I30" s="2824"/>
      <c r="J30" s="2824"/>
      <c r="K30" s="2824"/>
      <c r="L30" s="2824"/>
      <c r="M30" s="2824"/>
      <c r="N30" s="2824"/>
      <c r="O30" s="2824"/>
      <c r="P30" s="2824"/>
    </row>
    <row r="31" spans="1:19" ht="32.25" customHeight="1" thickBot="1">
      <c r="A31" s="1226"/>
      <c r="B31" s="1227" t="s">
        <v>195</v>
      </c>
      <c r="C31" s="2047" t="s">
        <v>1678</v>
      </c>
      <c r="D31" s="1228">
        <f>D27+D30</f>
        <v>39137.980000000003</v>
      </c>
      <c r="E31" s="1228">
        <f>E27+E30</f>
        <v>127861.33</v>
      </c>
      <c r="F31" s="1229">
        <f>F27+F30</f>
        <v>95299.4</v>
      </c>
      <c r="G31" s="1230">
        <f>G27+G30</f>
        <v>32561.93</v>
      </c>
      <c r="H31" s="2824"/>
      <c r="I31" s="2824"/>
      <c r="J31" s="2824"/>
      <c r="K31" s="2824"/>
      <c r="L31" s="2824"/>
      <c r="M31" s="2824"/>
      <c r="N31" s="2824"/>
      <c r="O31" s="2824"/>
      <c r="P31" s="2824"/>
    </row>
    <row r="32" spans="1:19">
      <c r="A32" s="1737"/>
      <c r="B32" s="2059" t="s">
        <v>1677</v>
      </c>
      <c r="C32" s="2250"/>
      <c r="D32" s="1098"/>
      <c r="E32" s="1098">
        <f>SUMIF(C19:C26,"*住宅*",E19:E26)</f>
        <v>77355.81</v>
      </c>
      <c r="F32" s="1098"/>
      <c r="G32" s="1098"/>
      <c r="H32" s="2824"/>
      <c r="I32" s="2824"/>
      <c r="J32" s="2824"/>
      <c r="K32" s="2824"/>
      <c r="L32" s="2824"/>
      <c r="M32" s="2824"/>
      <c r="N32" s="2824"/>
      <c r="O32" s="2824"/>
      <c r="P32" s="2824"/>
    </row>
    <row r="33" spans="4:7">
      <c r="D33" s="1739"/>
    </row>
    <row r="35" spans="4:7">
      <c r="F35" s="1738">
        <f>F20+F21</f>
        <v>15622.58</v>
      </c>
      <c r="G35" s="1738">
        <f>G31/F31</f>
        <v>0.34168032537455645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45034</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3241</v>
      </c>
      <c r="O5" s="156" t="s">
        <v>212</v>
      </c>
      <c r="P5" s="158" t="s">
        <v>213</v>
      </c>
      <c r="Q5" s="159" t="s">
        <v>214</v>
      </c>
      <c r="R5" s="160" t="s">
        <v>215</v>
      </c>
      <c r="S5" s="2227" t="s">
        <v>1852</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1724</v>
      </c>
      <c r="AO5" s="2845"/>
      <c r="AP5" s="2830" t="s">
        <v>2256</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69468</v>
      </c>
      <c r="F6" s="167">
        <f>SUMIF(项目基本情况!C$15:I$15,C6,项目基本情况!C$19:I$19)</f>
        <v>66.94</v>
      </c>
      <c r="G6" s="168">
        <f t="shared" ref="G6:G13" si="0">IF(ISERROR(ROUND(POWER(1+H6,D6-F6)*(POWER(1+H6,F6)-1)/(POWER(1+H6,D6)-1),3)),0,ROUND(POWER(1+H6,D6-F6)*(POWER(1+H6,F6)-1)/(POWER(1+H6,D6)-1),3))</f>
        <v>0.99099999999999999</v>
      </c>
      <c r="H6" s="2497">
        <v>0.04</v>
      </c>
      <c r="I6" s="2497">
        <v>4.4999999999999998E-2</v>
      </c>
      <c r="J6" s="169"/>
      <c r="K6" s="172">
        <f>SUMIF('数据-汇总表'!C$19:C$33,'数据-取费表'!A6,'数据-汇总表'!E$19:E$33)</f>
        <v>77355.81</v>
      </c>
      <c r="L6" s="2498">
        <v>7000</v>
      </c>
      <c r="M6" s="170">
        <f t="shared" ref="M6:M14" si="1">ROUND(K6*L6/10000,0)</f>
        <v>54149</v>
      </c>
      <c r="N6" s="2499">
        <v>0</v>
      </c>
      <c r="O6" s="170">
        <f>IF($N$5="成新度","——",ROUND(M6*N6,0))</f>
        <v>0</v>
      </c>
      <c r="P6" s="171">
        <f>IF($N$5="成新度","——",M6-O6)</f>
        <v>54149</v>
      </c>
      <c r="Q6" s="2500">
        <v>0.2</v>
      </c>
      <c r="R6" s="172">
        <f>SUMIF('数据-汇总表'!C$19:C$33,A6,'数据-汇总表'!R$19:R$33)</f>
        <v>32590.73</v>
      </c>
      <c r="S6" s="128">
        <f>IF('数据-汇总表'!$I$17="按面积比例",SUMIF('数据-汇总表'!C$19:C$33,A6,'数据-汇总表'!K$19:K$33),SUMIF('数据-汇总表'!C$19:C$33,A6,'数据-汇总表'!N$19:N$33))</f>
        <v>28554.98</v>
      </c>
      <c r="T6" s="1951">
        <f>IF($T$4="按面积比例",IF(ISERROR(ROUND($M$14*S6/S$16,0)),"0",ROUND($M$14*S6/S$16,0)),"需自行计算录入")</f>
        <v>12850</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0.92800000000000005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商业</v>
      </c>
      <c r="B7" s="2054" t="str">
        <f t="shared" ref="B7:B13" si="2">IF(A7=0,"","经营性")</f>
        <v>经营性</v>
      </c>
      <c r="C7" s="166" t="s">
        <v>2733</v>
      </c>
      <c r="D7" s="2025">
        <f>SUMIF(项目基本情况!C$15:I$15,C7,项目基本情况!C$18:I$18)</f>
        <v>40</v>
      </c>
      <c r="E7" s="2026">
        <f>IF(B7="","",SUMIF(项目基本情况!C$15:I$15,C7,项目基本情况!C$17:I$17))</f>
        <v>58511</v>
      </c>
      <c r="F7" s="167">
        <f>SUMIF(项目基本情况!C$15:I$15,C7,项目基本情况!C$19:I$19)</f>
        <v>36.92</v>
      </c>
      <c r="G7" s="168">
        <f t="shared" si="0"/>
        <v>0.97299999999999998</v>
      </c>
      <c r="H7" s="2497">
        <v>0.05</v>
      </c>
      <c r="I7" s="2497">
        <v>5.5E-2</v>
      </c>
      <c r="J7" s="169"/>
      <c r="K7" s="172">
        <f>SUMIF('数据-汇总表'!C$19:C$33,'数据-取费表'!A7,'数据-汇总表'!E$19:E$33)</f>
        <v>11128.710000000001</v>
      </c>
      <c r="L7" s="2498">
        <v>4500</v>
      </c>
      <c r="M7" s="170">
        <f t="shared" si="1"/>
        <v>5008</v>
      </c>
      <c r="N7" s="2499">
        <f>N6</f>
        <v>0</v>
      </c>
      <c r="O7" s="170">
        <f t="shared" ref="O7:O14" si="3">IF($N$5="成新度","——",ROUND(M7*N7,0))</f>
        <v>0</v>
      </c>
      <c r="P7" s="171">
        <f t="shared" ref="P7:P14" si="4">IF($N$5="成新度","——",M7-O7)</f>
        <v>5008</v>
      </c>
      <c r="Q7" s="2500">
        <v>0.2</v>
      </c>
      <c r="R7" s="172">
        <f>SUMIF('数据-汇总表'!C$19:C$33,A7,'数据-汇总表'!R$19:R$33)</f>
        <v>4663.93</v>
      </c>
      <c r="S7" s="128">
        <f>IF('数据-汇总表'!$I$17="按面积比例",SUMIF('数据-汇总表'!C$19:C$33,A7,'数据-汇总表'!K$19:K$33),SUMIF('数据-汇总表'!C$19:C$33,A7,'数据-汇总表'!N$19:N$33))</f>
        <v>4108.03</v>
      </c>
      <c r="T7" s="1951">
        <f t="shared" ref="T7:T13" si="5">IF($T$4="按面积比例",IF(ISERROR(ROUND($M$14*S7/S$16,0)),"0",ROUND($M$14*S7/S$16,0)),"需自行计算录入")</f>
        <v>1849</v>
      </c>
      <c r="U7" s="173">
        <f>W24</f>
        <v>4.5999999999999996</v>
      </c>
      <c r="V7" s="174">
        <v>0.03</v>
      </c>
      <c r="W7" s="174">
        <v>0.1</v>
      </c>
      <c r="X7" s="2038"/>
      <c r="Y7" s="175">
        <v>1</v>
      </c>
      <c r="Z7" s="176"/>
      <c r="AA7" s="169"/>
      <c r="AB7" s="169"/>
      <c r="AC7" s="2041"/>
      <c r="AD7" s="177"/>
      <c r="AE7" s="933">
        <f t="shared" ref="AE7:AE13" ca="1" si="6">IF(AN7="",0,SUMIF(INDIRECT("'"&amp;AN7&amp;"'"&amp;"!E:E"),$AE$5,INDIRECT("'"&amp;AN7&amp;"'"&amp;"!F:F")))</f>
        <v>33.92</v>
      </c>
      <c r="AF7" s="134"/>
      <c r="AG7" s="1110">
        <f t="shared" ref="AG7:AG13" si="7">IF(AF7="",0,AE7-AF7)</f>
        <v>0</v>
      </c>
      <c r="AH7" s="134"/>
      <c r="AI7" s="180">
        <v>365</v>
      </c>
      <c r="AJ7" s="181"/>
      <c r="AK7" s="182">
        <v>0.01</v>
      </c>
      <c r="AL7" s="183">
        <v>1.5E-3</v>
      </c>
      <c r="AM7" s="2509">
        <v>0.01</v>
      </c>
      <c r="AN7" s="2082" t="s">
        <v>3485</v>
      </c>
      <c r="AO7" s="2834"/>
      <c r="AP7" s="1101">
        <f t="shared" ref="AP7:AP13" si="8">ROUND(1-1/(1+H7)^F7,3)</f>
        <v>0.83499999999999996</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公寓</v>
      </c>
      <c r="B8" s="2054" t="str">
        <f t="shared" si="2"/>
        <v>经营性</v>
      </c>
      <c r="C8" s="166" t="s">
        <v>2733</v>
      </c>
      <c r="D8" s="2025">
        <f>SUMIF(项目基本情况!C$15:I$15,C8,项目基本情况!C$18:I$18)</f>
        <v>40</v>
      </c>
      <c r="E8" s="2026">
        <f>IF(B8="","",SUMIF(项目基本情况!C$15:I$15,C8,项目基本情况!C$17:I$17))</f>
        <v>58511</v>
      </c>
      <c r="F8" s="167">
        <f>SUMIF(项目基本情况!C$15:I$15,C8,项目基本情况!C$19:I$19)</f>
        <v>36.92</v>
      </c>
      <c r="G8" s="168">
        <f t="shared" si="0"/>
        <v>0.97299999999999998</v>
      </c>
      <c r="H8" s="2497">
        <v>0.05</v>
      </c>
      <c r="I8" s="2497">
        <v>5.5E-2</v>
      </c>
      <c r="J8" s="169"/>
      <c r="K8" s="172">
        <f>SUMIF('数据-汇总表'!C$19:C$33,'数据-取费表'!A8,'数据-汇总表'!E$19:E$33)</f>
        <v>4493.869999999999</v>
      </c>
      <c r="L8" s="2498">
        <v>7000</v>
      </c>
      <c r="M8" s="170">
        <f>ROUND(K8*L8/10000,0)</f>
        <v>3146</v>
      </c>
      <c r="N8" s="2499">
        <f>N6</f>
        <v>0</v>
      </c>
      <c r="O8" s="170">
        <f t="shared" si="3"/>
        <v>0</v>
      </c>
      <c r="P8" s="171">
        <f t="shared" si="4"/>
        <v>3146</v>
      </c>
      <c r="Q8" s="2500">
        <v>0.2</v>
      </c>
      <c r="R8" s="172">
        <f>SUMIF('数据-汇总表'!C$19:C$33,A8,'数据-汇总表'!R$19:R$33)</f>
        <v>1883.33</v>
      </c>
      <c r="S8" s="128">
        <f>IF('数据-汇总表'!$I$17="按面积比例",SUMIF('数据-汇总表'!C$19:C$33,A8,'数据-汇总表'!K$19:K$33),SUMIF('数据-汇总表'!C$19:C$33,A8,'数据-汇总表'!N$19:N$33))</f>
        <v>1658.86</v>
      </c>
      <c r="T8" s="1951">
        <f t="shared" si="5"/>
        <v>746</v>
      </c>
      <c r="U8" s="173"/>
      <c r="V8" s="174"/>
      <c r="W8" s="174"/>
      <c r="X8" s="2038"/>
      <c r="Y8" s="175"/>
      <c r="Z8" s="176"/>
      <c r="AA8" s="169"/>
      <c r="AB8" s="169"/>
      <c r="AC8" s="2041"/>
      <c r="AD8" s="177"/>
      <c r="AE8" s="933">
        <f t="shared" ca="1" si="6"/>
        <v>0</v>
      </c>
      <c r="AF8" s="134"/>
      <c r="AG8" s="1110">
        <f t="shared" si="7"/>
        <v>0</v>
      </c>
      <c r="AH8" s="134"/>
      <c r="AI8" s="180"/>
      <c r="AJ8" s="181"/>
      <c r="AK8" s="182"/>
      <c r="AL8" s="183"/>
      <c r="AM8" s="2509"/>
      <c r="AN8" s="2082"/>
      <c r="AO8" s="2834"/>
      <c r="AP8" s="1101">
        <f t="shared" si="8"/>
        <v>0.83499999999999996</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3">
        <f t="shared" ca="1" si="6"/>
        <v>0</v>
      </c>
      <c r="AF9" s="134"/>
      <c r="AG9" s="1110">
        <f t="shared" si="7"/>
        <v>0</v>
      </c>
      <c r="AH9" s="3715"/>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1670</v>
      </c>
      <c r="B14" s="2023" t="s">
        <v>1213</v>
      </c>
      <c r="C14" s="2024" t="s">
        <v>1670</v>
      </c>
      <c r="D14" s="2025"/>
      <c r="E14" s="2026"/>
      <c r="F14" s="167"/>
      <c r="G14" s="168"/>
      <c r="H14" s="2027"/>
      <c r="I14" s="2027"/>
      <c r="J14" s="2027"/>
      <c r="K14" s="172">
        <f>SUMIF('数据-汇总表'!C$19:C$33,'数据-取费表'!A14,'数据-汇总表'!E$19:E$33)</f>
        <v>34321.870000000003</v>
      </c>
      <c r="L14" s="186">
        <v>4500</v>
      </c>
      <c r="M14" s="170">
        <f t="shared" si="1"/>
        <v>15445</v>
      </c>
      <c r="N14" s="187">
        <f>N9</f>
        <v>0</v>
      </c>
      <c r="O14" s="170">
        <f t="shared" si="3"/>
        <v>0</v>
      </c>
      <c r="P14" s="171">
        <f t="shared" si="4"/>
        <v>15445</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1672</v>
      </c>
      <c r="B15" s="2023" t="s">
        <v>1213</v>
      </c>
      <c r="C15" s="2024" t="s">
        <v>1671</v>
      </c>
      <c r="D15" s="2025"/>
      <c r="E15" s="2026"/>
      <c r="F15" s="167"/>
      <c r="G15" s="168"/>
      <c r="H15" s="2027"/>
      <c r="I15" s="2027"/>
      <c r="J15" s="2027"/>
      <c r="K15" s="172">
        <f>SUMIF('数据-汇总表'!C$19:C$33,'数据-取费表'!A15,'数据-汇总表'!E$19:E$33)</f>
        <v>561.06999999999994</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0.98799999999999999</v>
      </c>
      <c r="H16" s="194">
        <f>ROUND(SUMPRODUCT(H6:H13,K6:K13)/SUMPRODUCT((H6:H13&gt;0)*(K6:K13)),3)</f>
        <v>4.2000000000000003E-2</v>
      </c>
      <c r="I16" s="195"/>
      <c r="J16" s="195"/>
      <c r="K16" s="196">
        <f>SUM(K6:K15)</f>
        <v>127861.33000000002</v>
      </c>
      <c r="L16" s="197">
        <f>ROUND(M16*10000/SUM(K6:K14),0)</f>
        <v>6107</v>
      </c>
      <c r="M16" s="197">
        <f>SUM(M6:M14)</f>
        <v>77748</v>
      </c>
      <c r="N16" s="198">
        <f>ROUND(SUMPRODUCT(M6:M14,N6:N14)/M16,3)</f>
        <v>0</v>
      </c>
      <c r="O16" s="197">
        <f>SUM(O6:O14)</f>
        <v>0</v>
      </c>
      <c r="P16" s="197">
        <f>SUM(P6:P14)</f>
        <v>77748</v>
      </c>
      <c r="Q16" s="199">
        <f>ROUND(SUMPRODUCT(Q6:Q13,K6:K13)/SUMPRODUCT((Q6:Q13&gt;0)*(K6:K13)),2)</f>
        <v>0.2</v>
      </c>
      <c r="R16" s="2028">
        <f>SUM(R6:R13)</f>
        <v>39137.990000000005</v>
      </c>
      <c r="S16" s="200">
        <f>SUM(S6:S13)</f>
        <v>34321.869999999995</v>
      </c>
      <c r="T16" s="201">
        <f>IF(SUMIF(T6:T13,"&lt;9E307")=M14,SUMIF(T6:T13,"&lt;9E307"),"有误，请检查")</f>
        <v>15445</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0.91200000000000003</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3685" t="s">
        <v>3431</v>
      </c>
      <c r="M18" s="2831">
        <v>4500</v>
      </c>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2268</v>
      </c>
      <c r="D19" s="2835"/>
      <c r="E19" s="2834"/>
      <c r="F19" s="2834"/>
      <c r="G19" s="2834"/>
      <c r="H19" s="2834"/>
      <c r="I19" s="2834"/>
      <c r="J19" s="2834"/>
      <c r="K19" s="2833"/>
      <c r="L19" s="3685" t="s">
        <v>3432</v>
      </c>
      <c r="M19" s="2831">
        <v>2500</v>
      </c>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3</v>
      </c>
      <c r="C20" s="2846" t="s">
        <v>1689</v>
      </c>
      <c r="D20" s="2835"/>
      <c r="E20" s="2834"/>
      <c r="F20" s="2834"/>
      <c r="G20" s="2834"/>
      <c r="H20" s="2834"/>
      <c r="I20" s="2834"/>
      <c r="J20" s="2834"/>
      <c r="K20" s="2833"/>
      <c r="L20" s="2833"/>
      <c r="M20" s="2831"/>
      <c r="N20" s="2831"/>
      <c r="O20" s="2831"/>
      <c r="P20" s="2831"/>
      <c r="Q20" s="2831"/>
      <c r="R20" s="2831"/>
      <c r="S20" s="2831"/>
      <c r="T20" s="2831"/>
      <c r="U20" s="3703" t="s">
        <v>3488</v>
      </c>
      <c r="V20" s="3703" t="s">
        <v>3489</v>
      </c>
      <c r="W20" s="3703" t="s">
        <v>3490</v>
      </c>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4057">
        <f>K7+K8</f>
        <v>15622.58</v>
      </c>
      <c r="L21" s="2833"/>
      <c r="M21" s="2831"/>
      <c r="N21" s="2831"/>
      <c r="O21" s="2831"/>
      <c r="P21" s="2831"/>
      <c r="Q21" s="2831"/>
      <c r="R21" s="2831"/>
      <c r="S21" s="2831"/>
      <c r="T21" s="2831"/>
      <c r="U21" s="2831">
        <v>1</v>
      </c>
      <c r="V21" s="2831">
        <v>1</v>
      </c>
      <c r="W21" s="2831">
        <v>6</v>
      </c>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3</v>
      </c>
      <c r="C22" s="2834"/>
      <c r="D22" s="2835"/>
      <c r="E22" s="2834"/>
      <c r="F22" s="2834"/>
      <c r="G22" s="2834"/>
      <c r="H22" s="2834"/>
      <c r="I22" s="2834"/>
      <c r="J22" s="2834"/>
      <c r="K22" s="2833"/>
      <c r="L22" s="2833"/>
      <c r="M22" s="2831"/>
      <c r="N22" s="2831"/>
      <c r="O22" s="2831"/>
      <c r="P22" s="2831"/>
      <c r="Q22" s="2831"/>
      <c r="R22" s="2831"/>
      <c r="S22" s="2831"/>
      <c r="T22" s="2831"/>
      <c r="U22" s="2831">
        <v>2</v>
      </c>
      <c r="V22" s="2831">
        <v>0.7</v>
      </c>
      <c r="W22" s="2831">
        <f>W21*V22</f>
        <v>4.1999999999999993</v>
      </c>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v>3</v>
      </c>
      <c r="V23" s="2831">
        <v>0.6</v>
      </c>
      <c r="W23" s="2831">
        <f>W21*V23</f>
        <v>3.5999999999999996</v>
      </c>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f>ROUND((W21+W22+W23)/3,1)</f>
        <v>4.5999999999999996</v>
      </c>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1691</v>
      </c>
      <c r="B27" s="218">
        <v>220</v>
      </c>
      <c r="C27" s="2847" t="s">
        <v>2269</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1692</v>
      </c>
      <c r="B28" s="220">
        <v>220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1690</v>
      </c>
      <c r="B29" s="223"/>
      <c r="C29" s="2848" t="s">
        <v>1693</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0.05</v>
      </c>
      <c r="C33" s="2849" t="s">
        <v>2257</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3674">
        <v>0.1</v>
      </c>
      <c r="C34" s="2849" t="s">
        <v>2258</v>
      </c>
      <c r="D34" s="2850" t="s">
        <v>2265</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200</v>
      </c>
      <c r="C35" s="2849" t="s">
        <v>2259</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2260</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0.03</v>
      </c>
      <c r="C37" s="2849" t="s">
        <v>2261</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0.03</v>
      </c>
      <c r="C38" s="2849" t="s">
        <v>2261</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1798</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3269</v>
      </c>
      <c r="B40" s="2128">
        <f ca="1">IF(A40="利息：取LPR",存贷款利率!E2,存贷款利率!E2+C40)</f>
        <v>4.1499999999999995E-2</v>
      </c>
      <c r="C40" s="3020">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2266</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2262</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2263</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2270</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2262</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2264</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9</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1145</v>
      </c>
      <c r="C53" s="2842" t="s">
        <v>2163</v>
      </c>
      <c r="D53" s="2853" t="s">
        <v>2267</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2164</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2165</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2166</v>
      </c>
      <c r="B56" s="179">
        <v>9</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2167</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2168</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2169</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2170</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2171</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2172</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2173</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5"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5"/>
  </cols>
  <sheetData>
    <row r="1" spans="1:18" s="2859" customFormat="1" ht="19.5" thickBot="1">
      <c r="A1" s="3819" t="s">
        <v>1198</v>
      </c>
      <c r="B1" s="3820"/>
      <c r="C1" s="3820"/>
      <c r="D1" s="3820"/>
      <c r="E1" s="3820"/>
      <c r="F1" s="3820"/>
      <c r="G1" s="3820"/>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73" t="s">
        <v>3271</v>
      </c>
      <c r="D3" s="2868"/>
      <c r="E3" s="2869" t="s">
        <v>1201</v>
      </c>
      <c r="F3" s="2870" t="s">
        <v>1189</v>
      </c>
      <c r="G3" s="2871" t="s">
        <v>2178</v>
      </c>
      <c r="H3" s="2865"/>
      <c r="I3" s="2865"/>
      <c r="J3" s="2865"/>
      <c r="K3" s="2865"/>
      <c r="L3" s="2865"/>
      <c r="M3" s="2865"/>
      <c r="N3" s="2865"/>
      <c r="O3" s="2865"/>
      <c r="P3" s="2865"/>
      <c r="Q3" s="2865"/>
      <c r="R3" s="2865"/>
    </row>
    <row r="4" spans="1:18" ht="40.5">
      <c r="A4" s="2869"/>
      <c r="B4" s="2872" t="s">
        <v>1202</v>
      </c>
      <c r="C4" s="2873" t="s">
        <v>3271</v>
      </c>
      <c r="D4" s="2868"/>
      <c r="E4" s="2874"/>
      <c r="F4" s="2875" t="s">
        <v>1203</v>
      </c>
      <c r="G4" s="2876" t="s">
        <v>2175</v>
      </c>
      <c r="H4" s="2865"/>
      <c r="I4" s="2865"/>
      <c r="J4" s="2865"/>
      <c r="K4" s="2865"/>
      <c r="L4" s="2865"/>
      <c r="M4" s="2865"/>
      <c r="N4" s="2865"/>
      <c r="O4" s="2865"/>
      <c r="P4" s="2865"/>
      <c r="Q4" s="2865"/>
      <c r="R4" s="2865"/>
    </row>
    <row r="5" spans="1:18" ht="27">
      <c r="A5" s="2869"/>
      <c r="B5" s="2872" t="s">
        <v>1204</v>
      </c>
      <c r="C5" s="2873"/>
      <c r="D5" s="2868"/>
      <c r="E5" s="2874"/>
      <c r="F5" s="2872" t="s">
        <v>1826</v>
      </c>
      <c r="G5" s="2876" t="s">
        <v>2176</v>
      </c>
      <c r="H5" s="2865"/>
      <c r="I5" s="2865"/>
      <c r="J5" s="2865"/>
      <c r="K5" s="2865"/>
      <c r="L5" s="2865"/>
      <c r="M5" s="2865"/>
      <c r="N5" s="2865"/>
      <c r="O5" s="2865"/>
      <c r="P5" s="2865"/>
      <c r="Q5" s="2865"/>
      <c r="R5" s="2865"/>
    </row>
    <row r="6" spans="1:18" ht="14.25">
      <c r="A6" s="2869"/>
      <c r="B6" s="2872" t="s">
        <v>1190</v>
      </c>
      <c r="C6" s="2876" t="s">
        <v>3271</v>
      </c>
      <c r="D6" s="2868"/>
      <c r="E6" s="2874"/>
      <c r="F6" s="2872" t="s">
        <v>1827</v>
      </c>
      <c r="G6" s="2876" t="s">
        <v>2174</v>
      </c>
      <c r="H6" s="2865"/>
      <c r="I6" s="2865"/>
      <c r="J6" s="2865"/>
      <c r="K6" s="2865"/>
      <c r="L6" s="2865"/>
      <c r="M6" s="2865"/>
      <c r="N6" s="2865"/>
      <c r="O6" s="2865"/>
      <c r="P6" s="2865"/>
      <c r="Q6" s="2865"/>
      <c r="R6" s="2865"/>
    </row>
    <row r="7" spans="1:18" ht="27.75" thickBot="1">
      <c r="A7" s="2869"/>
      <c r="B7" s="2872" t="s">
        <v>1826</v>
      </c>
      <c r="C7" s="2876" t="s">
        <v>3271</v>
      </c>
      <c r="D7" s="2877"/>
      <c r="E7" s="2878"/>
      <c r="F7" s="2879" t="s">
        <v>1205</v>
      </c>
      <c r="G7" s="2880" t="s">
        <v>2177</v>
      </c>
      <c r="H7" s="2865"/>
      <c r="I7" s="2865"/>
      <c r="J7" s="2865"/>
      <c r="K7" s="2865"/>
      <c r="L7" s="2865"/>
      <c r="M7" s="2865"/>
      <c r="N7" s="2865"/>
      <c r="O7" s="2865"/>
      <c r="P7" s="2865"/>
      <c r="Q7" s="2865"/>
      <c r="R7" s="2865"/>
    </row>
    <row r="8" spans="1:18" ht="14.25">
      <c r="A8" s="2869"/>
      <c r="B8" s="2872" t="s">
        <v>1827</v>
      </c>
      <c r="C8" s="2876" t="s">
        <v>3272</v>
      </c>
      <c r="D8" s="2877"/>
      <c r="E8" s="2877"/>
      <c r="F8" s="2881"/>
      <c r="G8" s="2881"/>
      <c r="H8" s="2865"/>
      <c r="I8" s="2865"/>
      <c r="J8" s="2865"/>
      <c r="K8" s="2865"/>
      <c r="L8" s="2865"/>
      <c r="M8" s="2865"/>
      <c r="N8" s="2865"/>
      <c r="O8" s="2865"/>
      <c r="P8" s="2865"/>
      <c r="Q8" s="2865"/>
      <c r="R8" s="2865"/>
    </row>
    <row r="9" spans="1:18">
      <c r="A9" s="2869"/>
      <c r="B9" s="2872" t="s">
        <v>1191</v>
      </c>
      <c r="C9" s="3684" t="s">
        <v>3600</v>
      </c>
      <c r="D9" s="2868"/>
      <c r="E9" s="2877"/>
      <c r="F9" s="2881"/>
      <c r="G9" s="2881"/>
      <c r="H9" s="2865"/>
      <c r="I9" s="2865"/>
      <c r="J9" s="2865"/>
      <c r="K9" s="2865"/>
      <c r="L9" s="2865"/>
      <c r="M9" s="2865"/>
      <c r="N9" s="2865"/>
      <c r="O9" s="2865"/>
      <c r="P9" s="2865"/>
      <c r="Q9" s="2865"/>
      <c r="R9" s="2865"/>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9" customFormat="1" ht="18.75">
      <c r="A12" s="2889"/>
      <c r="B12" s="2877"/>
      <c r="C12" s="2868"/>
      <c r="D12" s="2891"/>
      <c r="E12" s="2868"/>
      <c r="F12" s="2877"/>
      <c r="G12" s="2890"/>
      <c r="H12" s="2892"/>
      <c r="I12" s="2893"/>
      <c r="J12" s="2892"/>
      <c r="K12" s="2892"/>
      <c r="L12" s="2894"/>
      <c r="M12" s="2892"/>
      <c r="N12" s="2895"/>
      <c r="O12" s="2896"/>
      <c r="P12" s="2897"/>
      <c r="Q12" s="2895"/>
      <c r="R12" s="2858"/>
    </row>
    <row r="13" spans="1:18" ht="19.5" thickBot="1">
      <c r="A13" s="2898" t="s">
        <v>1207</v>
      </c>
      <c r="B13" s="2891"/>
      <c r="C13" s="2891"/>
      <c r="D13" s="2863"/>
      <c r="E13" s="2891"/>
      <c r="F13" s="2891"/>
      <c r="G13" s="2891"/>
    </row>
    <row r="14" spans="1:18" ht="14.25" thickBot="1">
      <c r="A14" s="2903"/>
      <c r="B14" s="2903"/>
      <c r="C14" s="2904" t="s">
        <v>1199</v>
      </c>
      <c r="D14" s="2868"/>
      <c r="E14" s="2905"/>
      <c r="F14" s="2905"/>
      <c r="G14" s="2862" t="s">
        <v>1200</v>
      </c>
    </row>
    <row r="15" spans="1:18" ht="27">
      <c r="A15" s="2906" t="s">
        <v>1192</v>
      </c>
      <c r="B15" s="2907" t="s">
        <v>1188</v>
      </c>
      <c r="C15" s="2908" t="str">
        <f>C3</f>
        <v>一般</v>
      </c>
      <c r="D15" s="2868"/>
      <c r="E15" s="2909" t="s">
        <v>1193</v>
      </c>
      <c r="F15" s="2907" t="s">
        <v>1208</v>
      </c>
      <c r="G15" s="2910" t="str">
        <f>G3</f>
        <v>估价对象位于XX开发区，园区建设成熟度XX，产业集聚程度XX</v>
      </c>
    </row>
    <row r="16" spans="1:18" ht="40.5">
      <c r="A16" s="2911"/>
      <c r="B16" s="2912" t="s">
        <v>1202</v>
      </c>
      <c r="C16" s="2913" t="str">
        <f>C4</f>
        <v>一般</v>
      </c>
      <c r="D16" s="2868"/>
      <c r="E16" s="2914"/>
      <c r="F16" s="2915" t="s">
        <v>1203</v>
      </c>
      <c r="G16" s="2916" t="str">
        <f>G4</f>
        <v>估价对象周边道路状况、公共交通通达情况、停车便捷程度，综合评价交通便捷度较好</v>
      </c>
    </row>
    <row r="17" spans="1:7" ht="14.25">
      <c r="A17" s="2911"/>
      <c r="B17" s="2912" t="s">
        <v>1204</v>
      </c>
      <c r="C17" s="2913">
        <f>C5</f>
        <v>0</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1826</v>
      </c>
      <c r="G19" s="2916" t="str">
        <f>G5</f>
        <v>估价对象所在区域公共配套设施齐备情况</v>
      </c>
    </row>
    <row r="20" spans="1:7">
      <c r="A20" s="2911"/>
      <c r="B20" s="2915" t="s">
        <v>1195</v>
      </c>
      <c r="C20" s="2913" t="str">
        <f>C9</f>
        <v>一般</v>
      </c>
      <c r="D20" s="2877"/>
      <c r="E20" s="2914"/>
      <c r="F20" s="2872" t="s">
        <v>1827</v>
      </c>
      <c r="G20" s="2916" t="str">
        <f>G6</f>
        <v>估价对象所在区域基础设施水平</v>
      </c>
    </row>
    <row r="21" spans="1:7" ht="14.25">
      <c r="A21" s="2911"/>
      <c r="B21" s="2872" t="s">
        <v>1826</v>
      </c>
      <c r="C21" s="2916" t="str">
        <f>C7</f>
        <v>一般</v>
      </c>
      <c r="D21" s="2868"/>
      <c r="E21" s="2914"/>
      <c r="F21" s="2915" t="s">
        <v>1196</v>
      </c>
      <c r="G21" s="2918"/>
    </row>
    <row r="22" spans="1:7" ht="14.25">
      <c r="A22" s="2911"/>
      <c r="B22" s="2872" t="s">
        <v>1827</v>
      </c>
      <c r="C22" s="2916" t="str">
        <f>C8</f>
        <v>六通</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44" sqref="H44"/>
    </sheetView>
  </sheetViews>
  <sheetFormatPr defaultColWidth="14.625" defaultRowHeight="13.5"/>
  <cols>
    <col min="1" max="1" width="24.375" style="2927" customWidth="1"/>
    <col min="2" max="16384" width="14.625" style="2927"/>
  </cols>
  <sheetData>
    <row r="1" spans="1:10" ht="16.5">
      <c r="A1" s="2926" t="s">
        <v>2115</v>
      </c>
      <c r="B1" s="2926">
        <f>SUM(B14:B23)</f>
        <v>127861.33</v>
      </c>
      <c r="C1" s="2935"/>
      <c r="D1" s="2935"/>
      <c r="E1" s="2935"/>
      <c r="F1" s="2935"/>
      <c r="G1" s="2936"/>
      <c r="H1" s="2936"/>
      <c r="I1" s="2936"/>
      <c r="J1" s="2936"/>
    </row>
    <row r="2" spans="1:10" ht="16.5">
      <c r="A2" s="2926" t="s">
        <v>2116</v>
      </c>
      <c r="B2" s="2926">
        <f>SUM(C14:C23)</f>
        <v>39137.980000000003</v>
      </c>
      <c r="C2" s="2935"/>
      <c r="D2" s="2935"/>
      <c r="E2" s="2935"/>
      <c r="F2" s="2935"/>
      <c r="G2" s="2936"/>
      <c r="H2" s="2936"/>
      <c r="I2" s="2936"/>
      <c r="J2" s="2936"/>
    </row>
    <row r="3" spans="1:10" ht="16.5">
      <c r="A3" s="2926" t="s">
        <v>2117</v>
      </c>
      <c r="B3" s="2928">
        <f>项目基本情况!D3</f>
        <v>45034</v>
      </c>
      <c r="C3" s="2935"/>
      <c r="D3" s="2935"/>
      <c r="E3" s="2935"/>
      <c r="F3" s="2935"/>
      <c r="G3" s="2936"/>
      <c r="H3" s="2936"/>
      <c r="I3" s="2936"/>
      <c r="J3" s="2936"/>
    </row>
    <row r="4" spans="1:10" ht="33">
      <c r="A4" s="2926" t="s">
        <v>2118</v>
      </c>
      <c r="B4" s="2926" t="s">
        <v>2119</v>
      </c>
      <c r="C4" s="2926" t="s">
        <v>2120</v>
      </c>
      <c r="D4" s="2926" t="s">
        <v>2121</v>
      </c>
      <c r="E4" s="2935"/>
      <c r="F4" s="2935"/>
      <c r="G4" s="2936"/>
      <c r="H4" s="2936"/>
      <c r="I4" s="2936"/>
      <c r="J4" s="2936"/>
    </row>
    <row r="5" spans="1:10" ht="16.5">
      <c r="A5" s="2926" t="s">
        <v>2122</v>
      </c>
      <c r="B5" s="2926">
        <f ca="1">SUM(D14:D23)</f>
        <v>100354</v>
      </c>
      <c r="C5" s="2926">
        <f ca="1">ROUND(B5*10000/$B$1,0)</f>
        <v>7849</v>
      </c>
      <c r="D5" s="2926">
        <f ca="1">ROUND(B5*10000/$B$2,0)</f>
        <v>25641</v>
      </c>
      <c r="E5" s="2935"/>
      <c r="F5" s="2935"/>
      <c r="G5" s="2936"/>
      <c r="H5" s="2936"/>
      <c r="I5" s="2936"/>
      <c r="J5" s="2936"/>
    </row>
    <row r="6" spans="1:10" ht="16.5">
      <c r="A6" s="2926" t="s">
        <v>2123</v>
      </c>
      <c r="B6" s="2926">
        <f ca="1">SUM(G14:G23)</f>
        <v>100354</v>
      </c>
      <c r="C6" s="2926">
        <f ca="1">ROUND(B6*10000/$B$1,0)</f>
        <v>7849</v>
      </c>
      <c r="D6" s="2926">
        <f ca="1">ROUND(B6*10000/$B$2,0)</f>
        <v>25641</v>
      </c>
      <c r="E6" s="2935"/>
      <c r="F6" s="2935"/>
      <c r="G6" s="2936"/>
      <c r="H6" s="2936"/>
      <c r="I6" s="2936"/>
      <c r="J6" s="2936"/>
    </row>
    <row r="7" spans="1:10" ht="16.5">
      <c r="A7" s="2926" t="s">
        <v>2124</v>
      </c>
      <c r="B7" s="2926">
        <f>SUM(H14:H23)</f>
        <v>0</v>
      </c>
      <c r="C7" s="2926">
        <f>ROUND(B7*10000/$B$1,0)</f>
        <v>0</v>
      </c>
      <c r="D7" s="2926">
        <f>ROUND(B7*10000/$B$2,0)</f>
        <v>0</v>
      </c>
      <c r="E7" s="2935"/>
      <c r="F7" s="2935"/>
      <c r="G7" s="2936"/>
      <c r="H7" s="2936"/>
      <c r="I7" s="2936"/>
      <c r="J7" s="2936"/>
    </row>
    <row r="8" spans="1:10" ht="16.5">
      <c r="A8" s="2926" t="s">
        <v>2125</v>
      </c>
      <c r="B8" s="2926">
        <f>SUM(I14:I23)</f>
        <v>0</v>
      </c>
      <c r="C8" s="2926">
        <f>ROUND(B8*10000/$B$1,0)</f>
        <v>0</v>
      </c>
      <c r="D8" s="2926">
        <f>ROUND(B8*10000/$B$2,0)</f>
        <v>0</v>
      </c>
      <c r="E8" s="2935"/>
      <c r="F8" s="2935"/>
      <c r="G8" s="2936"/>
      <c r="H8" s="2936"/>
      <c r="I8" s="2936"/>
      <c r="J8" s="2936"/>
    </row>
    <row r="9" spans="1:10" ht="16.5">
      <c r="A9" s="2926" t="s">
        <v>2126</v>
      </c>
      <c r="B9" s="2934"/>
      <c r="C9" s="2935"/>
      <c r="D9" s="2935"/>
      <c r="E9" s="2935"/>
      <c r="F9" s="2935"/>
      <c r="G9" s="2936"/>
      <c r="H9" s="2936"/>
      <c r="I9" s="2936"/>
      <c r="J9" s="2936"/>
    </row>
    <row r="10" spans="1:10" ht="16.5">
      <c r="A10" s="2926" t="s">
        <v>2127</v>
      </c>
      <c r="B10" s="2934"/>
      <c r="C10" s="2935"/>
      <c r="D10" s="2935"/>
      <c r="E10" s="2935"/>
      <c r="F10" s="2935"/>
      <c r="G10" s="2936"/>
      <c r="H10" s="2936"/>
      <c r="I10" s="2936"/>
      <c r="J10" s="2936"/>
    </row>
    <row r="11" spans="1:10" ht="16.5">
      <c r="A11" s="2926" t="s">
        <v>2144</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2143</v>
      </c>
      <c r="B13" s="2930" t="s">
        <v>2115</v>
      </c>
      <c r="C13" s="2930" t="s">
        <v>2116</v>
      </c>
      <c r="D13" s="2930" t="s">
        <v>2128</v>
      </c>
      <c r="E13" s="2926" t="s">
        <v>2142</v>
      </c>
      <c r="F13" s="2926" t="s">
        <v>2121</v>
      </c>
      <c r="G13" s="2930" t="s">
        <v>2129</v>
      </c>
      <c r="H13" s="2930" t="s">
        <v>2130</v>
      </c>
      <c r="I13" s="2930" t="s">
        <v>2131</v>
      </c>
      <c r="J13" s="2936"/>
    </row>
    <row r="14" spans="1:10" ht="16.5">
      <c r="A14" s="2931" t="s">
        <v>2141</v>
      </c>
      <c r="B14" s="2932">
        <f>结果表!L38</f>
        <v>127861.33</v>
      </c>
      <c r="C14" s="2932">
        <f>结果表!K38</f>
        <v>39137.980000000003</v>
      </c>
      <c r="D14" s="2932">
        <f ca="1">结果表!O38</f>
        <v>100354</v>
      </c>
      <c r="E14" s="2932">
        <f ca="1">ROUND(D14*10000/B14,0)</f>
        <v>7849</v>
      </c>
      <c r="F14" s="2932">
        <f ca="1">ROUND(D14*10000/C14,0)</f>
        <v>25641</v>
      </c>
      <c r="G14" s="2932">
        <f ca="1">D14</f>
        <v>100354</v>
      </c>
      <c r="H14" s="2932"/>
      <c r="I14" s="2932"/>
      <c r="J14" s="2936"/>
    </row>
    <row r="15" spans="1:10" ht="16.5">
      <c r="A15" s="2931" t="s">
        <v>2132</v>
      </c>
      <c r="B15" s="2933"/>
      <c r="C15" s="2933"/>
      <c r="D15" s="2933"/>
      <c r="E15" s="2932" t="e">
        <f t="shared" ref="E15:E23" si="0">ROUND(D15*10000/B15,0)</f>
        <v>#DIV/0!</v>
      </c>
      <c r="F15" s="2932" t="e">
        <f t="shared" ref="F15:F23" si="1">ROUND(D15*10000/C15,0)</f>
        <v>#DIV/0!</v>
      </c>
      <c r="G15" s="2513"/>
      <c r="H15" s="2513"/>
      <c r="I15" s="2933"/>
      <c r="J15" s="2936"/>
    </row>
    <row r="16" spans="1:10" ht="16.5">
      <c r="A16" s="2931" t="s">
        <v>2133</v>
      </c>
      <c r="B16" s="2933"/>
      <c r="C16" s="2933"/>
      <c r="D16" s="2933"/>
      <c r="E16" s="2932" t="e">
        <f t="shared" si="0"/>
        <v>#DIV/0!</v>
      </c>
      <c r="F16" s="2932" t="e">
        <f t="shared" si="1"/>
        <v>#DIV/0!</v>
      </c>
      <c r="G16" s="2513"/>
      <c r="H16" s="2513"/>
      <c r="I16" s="2933"/>
      <c r="J16" s="2936"/>
    </row>
    <row r="17" spans="1:10" ht="16.5">
      <c r="A17" s="2931" t="s">
        <v>2134</v>
      </c>
      <c r="B17" s="2933"/>
      <c r="C17" s="2933"/>
      <c r="D17" s="2933"/>
      <c r="E17" s="2932" t="e">
        <f t="shared" si="0"/>
        <v>#DIV/0!</v>
      </c>
      <c r="F17" s="2932" t="e">
        <f t="shared" si="1"/>
        <v>#DIV/0!</v>
      </c>
      <c r="G17" s="2513"/>
      <c r="H17" s="2513"/>
      <c r="I17" s="2933"/>
      <c r="J17" s="2936"/>
    </row>
    <row r="18" spans="1:10" ht="16.5">
      <c r="A18" s="2931" t="s">
        <v>2135</v>
      </c>
      <c r="B18" s="2933"/>
      <c r="C18" s="2933"/>
      <c r="D18" s="2933"/>
      <c r="E18" s="2932" t="e">
        <f t="shared" si="0"/>
        <v>#DIV/0!</v>
      </c>
      <c r="F18" s="2932" t="e">
        <f t="shared" si="1"/>
        <v>#DIV/0!</v>
      </c>
      <c r="G18" s="2933"/>
      <c r="H18" s="2933"/>
      <c r="I18" s="2933"/>
      <c r="J18" s="2936"/>
    </row>
    <row r="19" spans="1:10" ht="16.5">
      <c r="A19" s="2931" t="s">
        <v>2136</v>
      </c>
      <c r="B19" s="2933"/>
      <c r="C19" s="2933"/>
      <c r="D19" s="2933"/>
      <c r="E19" s="2932" t="e">
        <f t="shared" si="0"/>
        <v>#DIV/0!</v>
      </c>
      <c r="F19" s="2932" t="e">
        <f t="shared" si="1"/>
        <v>#DIV/0!</v>
      </c>
      <c r="G19" s="2933"/>
      <c r="H19" s="2933"/>
      <c r="I19" s="2933"/>
      <c r="J19" s="2936"/>
    </row>
    <row r="20" spans="1:10" ht="16.5">
      <c r="A20" s="2931" t="s">
        <v>2137</v>
      </c>
      <c r="B20" s="2933"/>
      <c r="C20" s="2933"/>
      <c r="D20" s="2933"/>
      <c r="E20" s="2932" t="e">
        <f t="shared" si="0"/>
        <v>#DIV/0!</v>
      </c>
      <c r="F20" s="2932" t="e">
        <f t="shared" si="1"/>
        <v>#DIV/0!</v>
      </c>
      <c r="G20" s="2933"/>
      <c r="H20" s="2933"/>
      <c r="I20" s="2933"/>
      <c r="J20" s="2936"/>
    </row>
    <row r="21" spans="1:10" ht="16.5">
      <c r="A21" s="2931" t="s">
        <v>2138</v>
      </c>
      <c r="B21" s="2933"/>
      <c r="C21" s="2933"/>
      <c r="D21" s="2933"/>
      <c r="E21" s="2932" t="e">
        <f t="shared" si="0"/>
        <v>#DIV/0!</v>
      </c>
      <c r="F21" s="2932" t="e">
        <f t="shared" si="1"/>
        <v>#DIV/0!</v>
      </c>
      <c r="G21" s="2933"/>
      <c r="H21" s="2933"/>
      <c r="I21" s="2933"/>
      <c r="J21" s="2936"/>
    </row>
    <row r="22" spans="1:10" ht="16.5">
      <c r="A22" s="2931" t="s">
        <v>2139</v>
      </c>
      <c r="B22" s="2933"/>
      <c r="C22" s="2933"/>
      <c r="D22" s="2933"/>
      <c r="E22" s="2932" t="e">
        <f t="shared" si="0"/>
        <v>#DIV/0!</v>
      </c>
      <c r="F22" s="2932" t="e">
        <f t="shared" si="1"/>
        <v>#DIV/0!</v>
      </c>
      <c r="G22" s="2933"/>
      <c r="H22" s="2933"/>
      <c r="I22" s="2933"/>
      <c r="J22" s="2936"/>
    </row>
    <row r="23" spans="1:10" ht="16.5">
      <c r="A23" s="2931" t="s">
        <v>2140</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F27" sqref="F27"/>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1572</v>
      </c>
      <c r="B1" s="1563"/>
      <c r="C1" s="1591" t="s">
        <v>1573</v>
      </c>
      <c r="D1" s="1592" t="s">
        <v>3369</v>
      </c>
      <c r="E1" s="1591" t="s">
        <v>1574</v>
      </c>
      <c r="F1" s="1593"/>
      <c r="G1" s="302"/>
      <c r="H1" s="302"/>
      <c r="I1" s="302"/>
      <c r="J1" s="1751"/>
      <c r="K1" s="1751"/>
      <c r="L1" s="1751"/>
      <c r="M1" s="1751"/>
      <c r="N1" s="1751"/>
      <c r="O1" s="1751"/>
      <c r="P1" s="1751"/>
      <c r="Q1" s="1751"/>
      <c r="R1" s="1751"/>
      <c r="S1" s="1751"/>
      <c r="T1" s="1751"/>
      <c r="U1" s="1751"/>
      <c r="V1" s="1751"/>
    </row>
    <row r="2" spans="1:22" ht="21.75" customHeight="1" thickBot="1">
      <c r="A2" s="3865" t="str">
        <f>项目基本情况!K2</f>
        <v>海南省三亚市吉阳区抱坡村住宅、商业用地出让国有建设用地使用权</v>
      </c>
      <c r="B2" s="3866"/>
      <c r="C2" s="3867"/>
      <c r="D2" s="3867"/>
      <c r="E2" s="3867"/>
      <c r="F2" s="3867"/>
      <c r="G2" s="3866"/>
      <c r="H2" s="3866"/>
      <c r="I2" s="3868"/>
      <c r="J2" s="1752"/>
      <c r="K2" s="1751"/>
      <c r="L2" s="1751"/>
      <c r="M2" s="1751"/>
      <c r="N2" s="1751"/>
      <c r="O2" s="1751"/>
      <c r="P2" s="1751"/>
      <c r="Q2" s="1751"/>
      <c r="R2" s="1751"/>
      <c r="S2" s="1751"/>
      <c r="T2" s="1751"/>
      <c r="U2" s="1751"/>
      <c r="V2" s="1751"/>
    </row>
    <row r="3" spans="1:22" ht="14.25">
      <c r="A3" s="3876" t="s">
        <v>264</v>
      </c>
      <c r="B3" s="3877"/>
      <c r="C3" s="3877"/>
      <c r="D3" s="3877"/>
      <c r="E3" s="3877"/>
      <c r="F3" s="3877"/>
      <c r="G3" s="3877"/>
      <c r="H3" s="3877"/>
      <c r="I3" s="3877"/>
      <c r="J3" s="1752"/>
      <c r="K3" s="1751"/>
      <c r="L3" s="1751"/>
      <c r="M3" s="1751"/>
      <c r="N3" s="1751"/>
      <c r="O3" s="1751"/>
      <c r="P3" s="1751"/>
      <c r="Q3" s="1751"/>
      <c r="R3" s="1751"/>
      <c r="S3" s="1751"/>
      <c r="T3" s="1751"/>
      <c r="U3" s="1751"/>
      <c r="V3" s="1751"/>
    </row>
    <row r="4" spans="1:22" ht="14.25">
      <c r="A4" s="249" t="s">
        <v>265</v>
      </c>
      <c r="B4" s="250" t="s">
        <v>266</v>
      </c>
      <c r="C4" s="251" t="s">
        <v>3370</v>
      </c>
      <c r="D4" s="251" t="s">
        <v>3371</v>
      </c>
      <c r="E4" s="3840" t="s">
        <v>267</v>
      </c>
      <c r="F4" s="3882"/>
      <c r="G4" s="3882"/>
      <c r="H4" s="3882"/>
      <c r="I4" s="3841"/>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69" t="s">
        <v>268</v>
      </c>
      <c r="B5" s="3870">
        <v>25</v>
      </c>
      <c r="C5" s="3878"/>
      <c r="D5" s="3881"/>
      <c r="E5" s="252" t="s">
        <v>269</v>
      </c>
      <c r="F5" s="253"/>
      <c r="G5" s="253"/>
      <c r="H5" s="253"/>
      <c r="I5" s="254"/>
      <c r="J5" s="1752"/>
      <c r="K5" s="1751"/>
      <c r="L5" s="1751"/>
      <c r="M5" s="1751"/>
      <c r="N5" s="1751"/>
      <c r="O5" s="1751"/>
      <c r="P5" s="1751"/>
      <c r="Q5" s="1751"/>
      <c r="R5" s="1751"/>
      <c r="S5" s="1751"/>
      <c r="T5" s="1751"/>
      <c r="U5" s="1751"/>
      <c r="V5" s="1751"/>
    </row>
    <row r="6" spans="1:22" ht="14.25">
      <c r="A6" s="3869"/>
      <c r="B6" s="3870"/>
      <c r="C6" s="3879"/>
      <c r="D6" s="3881"/>
      <c r="E6" s="252" t="s">
        <v>270</v>
      </c>
      <c r="F6" s="253"/>
      <c r="G6" s="253"/>
      <c r="H6" s="253"/>
      <c r="I6" s="254"/>
      <c r="J6" s="1752"/>
      <c r="K6" s="1751"/>
      <c r="L6" s="1751"/>
      <c r="M6" s="1751"/>
      <c r="N6" s="1751"/>
      <c r="O6" s="1751"/>
      <c r="P6" s="1751"/>
      <c r="Q6" s="1751"/>
      <c r="R6" s="1751"/>
      <c r="S6" s="1751"/>
      <c r="T6" s="1751"/>
      <c r="U6" s="1751"/>
      <c r="V6" s="1751"/>
    </row>
    <row r="7" spans="1:22" ht="14.25">
      <c r="A7" s="3869"/>
      <c r="B7" s="3870"/>
      <c r="C7" s="3880"/>
      <c r="D7" s="3881"/>
      <c r="E7" s="252" t="s">
        <v>271</v>
      </c>
      <c r="F7" s="253"/>
      <c r="G7" s="253"/>
      <c r="H7" s="253"/>
      <c r="I7" s="254"/>
      <c r="J7" s="1752"/>
      <c r="K7" s="1751"/>
      <c r="L7" s="1751"/>
      <c r="M7" s="1751"/>
      <c r="N7" s="1751"/>
      <c r="O7" s="1751"/>
      <c r="P7" s="1751"/>
      <c r="Q7" s="1751"/>
      <c r="R7" s="1751"/>
      <c r="S7" s="1751"/>
      <c r="T7" s="1751"/>
      <c r="U7" s="1751"/>
      <c r="V7" s="1751"/>
    </row>
    <row r="8" spans="1:22" ht="14.25">
      <c r="A8" s="3869" t="s">
        <v>272</v>
      </c>
      <c r="B8" s="3870">
        <v>15</v>
      </c>
      <c r="C8" s="3878"/>
      <c r="D8" s="3881"/>
      <c r="E8" s="252" t="s">
        <v>273</v>
      </c>
      <c r="F8" s="253"/>
      <c r="G8" s="253"/>
      <c r="H8" s="253"/>
      <c r="I8" s="254"/>
      <c r="J8" s="1752"/>
      <c r="K8" s="1751"/>
      <c r="L8" s="1751"/>
      <c r="M8" s="1751"/>
      <c r="N8" s="1751"/>
      <c r="O8" s="1751"/>
      <c r="P8" s="1751"/>
      <c r="Q8" s="1751"/>
      <c r="R8" s="1751"/>
      <c r="S8" s="1751"/>
      <c r="T8" s="1751"/>
      <c r="U8" s="1751"/>
      <c r="V8" s="1751"/>
    </row>
    <row r="9" spans="1:22" ht="14.25">
      <c r="A9" s="3869"/>
      <c r="B9" s="3870"/>
      <c r="C9" s="3880"/>
      <c r="D9" s="3881"/>
      <c r="E9" s="252" t="s">
        <v>274</v>
      </c>
      <c r="F9" s="253"/>
      <c r="G9" s="253"/>
      <c r="H9" s="253"/>
      <c r="I9" s="254"/>
      <c r="J9" s="1752"/>
      <c r="K9" s="1751"/>
      <c r="L9" s="1751"/>
      <c r="M9" s="1751"/>
      <c r="N9" s="1751"/>
      <c r="O9" s="1751"/>
      <c r="P9" s="1751"/>
      <c r="Q9" s="1751"/>
      <c r="R9" s="1751"/>
      <c r="S9" s="1751"/>
      <c r="T9" s="1751"/>
      <c r="U9" s="1751"/>
      <c r="V9" s="1751"/>
    </row>
    <row r="10" spans="1:22" ht="14.25">
      <c r="A10" s="3869" t="s">
        <v>275</v>
      </c>
      <c r="B10" s="3870">
        <v>15</v>
      </c>
      <c r="C10" s="3878"/>
      <c r="D10" s="3881"/>
      <c r="E10" s="252" t="s">
        <v>276</v>
      </c>
      <c r="F10" s="253"/>
      <c r="G10" s="253"/>
      <c r="H10" s="253"/>
      <c r="I10" s="254"/>
      <c r="J10" s="1752"/>
      <c r="K10" s="1751"/>
      <c r="L10" s="1751"/>
      <c r="M10" s="1751"/>
      <c r="N10" s="1751"/>
      <c r="O10" s="1751"/>
      <c r="P10" s="1751"/>
      <c r="Q10" s="1751"/>
      <c r="R10" s="1751"/>
      <c r="S10" s="1751"/>
      <c r="T10" s="1751"/>
      <c r="U10" s="1751"/>
      <c r="V10" s="1751"/>
    </row>
    <row r="11" spans="1:22" ht="14.25">
      <c r="A11" s="3869"/>
      <c r="B11" s="3870"/>
      <c r="C11" s="3880"/>
      <c r="D11" s="3881"/>
      <c r="E11" s="252" t="s">
        <v>277</v>
      </c>
      <c r="F11" s="253"/>
      <c r="G11" s="253"/>
      <c r="H11" s="253"/>
      <c r="I11" s="254"/>
      <c r="J11" s="1752"/>
      <c r="K11" s="1751"/>
      <c r="L11" s="1751"/>
      <c r="M11" s="1751"/>
      <c r="N11" s="1751"/>
      <c r="O11" s="1751"/>
      <c r="P11" s="1751"/>
      <c r="Q11" s="1751"/>
      <c r="R11" s="1751"/>
      <c r="S11" s="1751"/>
      <c r="T11" s="1751"/>
      <c r="U11" s="1751"/>
      <c r="V11" s="1751"/>
    </row>
    <row r="12" spans="1:22" ht="14.25">
      <c r="A12" s="3869" t="s">
        <v>278</v>
      </c>
      <c r="B12" s="3870">
        <v>15</v>
      </c>
      <c r="C12" s="3878"/>
      <c r="D12" s="3881"/>
      <c r="E12" s="252" t="s">
        <v>279</v>
      </c>
      <c r="F12" s="253"/>
      <c r="G12" s="253"/>
      <c r="H12" s="253"/>
      <c r="I12" s="254"/>
      <c r="J12" s="1752"/>
      <c r="K12" s="1751"/>
      <c r="L12" s="1751"/>
      <c r="M12" s="1751"/>
      <c r="N12" s="1751"/>
      <c r="O12" s="1751"/>
      <c r="P12" s="1751"/>
      <c r="Q12" s="1751"/>
      <c r="R12" s="1751"/>
      <c r="S12" s="1751"/>
      <c r="T12" s="1751"/>
      <c r="U12" s="1751"/>
      <c r="V12" s="1751"/>
    </row>
    <row r="13" spans="1:22" ht="14.25">
      <c r="A13" s="3869"/>
      <c r="B13" s="3870"/>
      <c r="C13" s="3880"/>
      <c r="D13" s="3881"/>
      <c r="E13" s="252" t="s">
        <v>280</v>
      </c>
      <c r="F13" s="253"/>
      <c r="G13" s="253"/>
      <c r="H13" s="253"/>
      <c r="I13" s="254"/>
      <c r="J13" s="1752"/>
      <c r="K13" s="1751"/>
      <c r="L13" s="1751"/>
      <c r="M13" s="1751"/>
      <c r="N13" s="1751"/>
      <c r="O13" s="1751"/>
      <c r="P13" s="1751"/>
      <c r="Q13" s="1751"/>
      <c r="R13" s="1751"/>
      <c r="S13" s="1751"/>
      <c r="T13" s="1751"/>
      <c r="U13" s="1751"/>
      <c r="V13" s="1751"/>
    </row>
    <row r="14" spans="1:22" ht="14.25">
      <c r="A14" s="3869" t="s">
        <v>281</v>
      </c>
      <c r="B14" s="3870">
        <v>30</v>
      </c>
      <c r="C14" s="3878">
        <v>5</v>
      </c>
      <c r="D14" s="3881">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69"/>
      <c r="B15" s="3870"/>
      <c r="C15" s="3879"/>
      <c r="D15" s="3881"/>
      <c r="E15" s="252" t="s">
        <v>283</v>
      </c>
      <c r="F15" s="253"/>
      <c r="G15" s="253"/>
      <c r="H15" s="253"/>
      <c r="I15" s="254"/>
      <c r="J15" s="1752"/>
      <c r="K15" s="1751"/>
      <c r="L15" s="1751"/>
      <c r="M15" s="1751"/>
      <c r="N15" s="1751"/>
      <c r="O15" s="1751"/>
      <c r="P15" s="1751"/>
      <c r="Q15" s="1751"/>
      <c r="R15" s="1751"/>
      <c r="S15" s="1751"/>
      <c r="T15" s="1751"/>
      <c r="U15" s="1751"/>
      <c r="V15" s="1751"/>
    </row>
    <row r="16" spans="1:22" ht="14.25">
      <c r="A16" s="3869"/>
      <c r="B16" s="3870"/>
      <c r="C16" s="3880"/>
      <c r="D16" s="3881"/>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83" t="s">
        <v>2246</v>
      </c>
      <c r="F18" s="3884"/>
      <c r="G18" s="3884"/>
      <c r="H18" s="3884"/>
      <c r="I18" s="3884"/>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97795</v>
      </c>
      <c r="D19" s="262">
        <f ca="1">SUMIF(INDIRECT("'"&amp;D4&amp;"'"&amp;"!A:A"),结果表!B19,INDIRECT("'"&amp;D4&amp;"'"&amp;"!B:B"))</f>
        <v>102912</v>
      </c>
      <c r="E19" s="259" t="s">
        <v>289</v>
      </c>
      <c r="F19" s="260" t="s">
        <v>288</v>
      </c>
      <c r="G19" s="263">
        <f ca="1">ROUND(C19*$C$18+D19*$D$18,0)</f>
        <v>100354</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7649</v>
      </c>
      <c r="D20" s="268">
        <f ca="1">SUMIF(INDIRECT("'"&amp;D4&amp;"'"&amp;"!A:A"),结果表!B20,INDIRECT("'"&amp;D4&amp;"'"&amp;"!B:B"))</f>
        <v>8049</v>
      </c>
      <c r="E20" s="265"/>
      <c r="F20" s="266" t="s">
        <v>291</v>
      </c>
      <c r="G20" s="269">
        <f ca="1">ROUND(C20*$C$18+D20*$D$18,0)</f>
        <v>7849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24987</v>
      </c>
      <c r="D21" s="144">
        <f ca="1">SUMIF(INDIRECT("'"&amp;D4&amp;"'"&amp;"!A:A"),结果表!B21,INDIRECT("'"&amp;D4&amp;"'"&amp;"!B:B"))</f>
        <v>26295</v>
      </c>
      <c r="E21" s="265"/>
      <c r="F21" s="271" t="s">
        <v>293</v>
      </c>
      <c r="G21" s="273">
        <f ca="1">ROUND(C21*$C$18+D21*$D$18,0)</f>
        <v>25641</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5.2323738432435096E-2</v>
      </c>
      <c r="E22" s="275"/>
      <c r="F22" s="276"/>
      <c r="G22" s="277">
        <f ca="1">ROUND(G19/('数据-汇总表'!D3/666.67),0)</f>
        <v>1709</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42"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89"/>
      <c r="B25" s="1189" t="s">
        <v>297</v>
      </c>
      <c r="C25" s="281">
        <f>IF(B30=0,0,C30)</f>
        <v>0</v>
      </c>
      <c r="D25" s="282"/>
      <c r="E25" s="302"/>
      <c r="F25" s="302"/>
      <c r="G25" s="302"/>
      <c r="H25" s="302"/>
      <c r="I25" s="302"/>
      <c r="J25" s="1751"/>
      <c r="K25" s="1123" t="str">
        <f ca="1">项目基本情况!A17&amp;"国有建设用地使用权价格："&amp;O38&amp;"万元"</f>
        <v>出让国有建设用地使用权价格：100354万元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大写金额：人民币壹拾亿零叁佰伍拾肆万元整</v>
      </c>
      <c r="L26" s="1120"/>
      <c r="M26" s="1120"/>
      <c r="N26" s="1120"/>
      <c r="O26" s="1119"/>
      <c r="P26" s="1751"/>
      <c r="Q26" s="1751"/>
      <c r="R26" s="1751"/>
      <c r="S26" s="1751"/>
      <c r="T26" s="1751"/>
      <c r="U26" s="1751"/>
      <c r="V26" s="1751"/>
      <c r="W26" s="283"/>
      <c r="X26" s="283"/>
      <c r="Y26" s="283"/>
      <c r="Z26" s="283"/>
    </row>
    <row r="27" spans="1:26" ht="18">
      <c r="A27" s="284"/>
      <c r="B27" s="285"/>
      <c r="C27" s="285">
        <f ca="1">ROUND(G19*10000/'数据-汇总表'!F31,0)</f>
        <v>10530</v>
      </c>
      <c r="D27" s="286"/>
      <c r="E27" s="302"/>
      <c r="F27" s="302"/>
      <c r="G27" s="302"/>
      <c r="H27" s="302"/>
      <c r="I27" s="302"/>
      <c r="J27" s="1751"/>
      <c r="K27" s="1126" t="str">
        <f ca="1">"单位面积地价："&amp;M38&amp;"元/平方米"</f>
        <v>单位面积地价：25641元/平方米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楼面地价：7849元/平方米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抵押价格：100354万元</v>
      </c>
      <c r="L29" s="1120"/>
      <c r="M29" s="1120"/>
      <c r="N29" s="1120"/>
      <c r="O29" s="1119"/>
      <c r="P29" s="1751"/>
      <c r="V29" s="1751"/>
    </row>
    <row r="30" spans="1:26" ht="18.75" thickBot="1">
      <c r="A30" s="2554" t="s">
        <v>302</v>
      </c>
      <c r="B30" s="300"/>
      <c r="C30" s="300"/>
      <c r="D30" s="301"/>
      <c r="E30" s="2745" t="s">
        <v>2247</v>
      </c>
      <c r="F30" s="302"/>
      <c r="G30" s="302"/>
      <c r="H30" s="302"/>
      <c r="I30" s="302"/>
      <c r="J30" s="1751"/>
      <c r="K30" s="1126" t="str">
        <f ca="1">IF(K29="——","——","大写金额：人民币"&amp;NUMBERSTRING(INT(O39*10000),2)&amp;"元整")</f>
        <v>大写金额：人民币壹拾亿零叁佰伍拾肆万元整</v>
      </c>
      <c r="L30" s="1120"/>
      <c r="M30" s="1120"/>
      <c r="N30" s="1120"/>
      <c r="O30" s="1119"/>
      <c r="P30" s="1751"/>
      <c r="V30" s="1751"/>
    </row>
    <row r="31" spans="1:26" ht="24" customHeight="1" thickBot="1">
      <c r="A31" s="3885" t="s">
        <v>2248</v>
      </c>
      <c r="B31" s="3885"/>
      <c r="C31" s="3885"/>
      <c r="D31" s="3885"/>
      <c r="E31" s="3885"/>
      <c r="F31" s="3885"/>
      <c r="G31" s="3885"/>
      <c r="H31" s="3885"/>
      <c r="I31" s="3885"/>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100354</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7849</v>
      </c>
      <c r="D33" s="1239" t="s">
        <v>1224</v>
      </c>
      <c r="E33" s="3842" t="s">
        <v>304</v>
      </c>
      <c r="F33" s="287" t="s">
        <v>305</v>
      </c>
      <c r="G33" s="288"/>
      <c r="H33" s="941"/>
      <c r="I33" s="1127"/>
      <c r="J33" s="1751"/>
      <c r="K33" s="1126" t="str">
        <f>IF(项目基本情况!E9="——","——","抵押净值："&amp;C46&amp;"万元")</f>
        <v>——</v>
      </c>
      <c r="L33" s="1120"/>
      <c r="M33" s="1120"/>
      <c r="N33" s="1120"/>
      <c r="O33" s="1119"/>
      <c r="P33" s="1751"/>
      <c r="V33" s="1751"/>
    </row>
    <row r="34" spans="1:26" s="1122" customFormat="1" ht="18.75" thickBot="1">
      <c r="A34" s="291"/>
      <c r="B34" s="1240" t="s">
        <v>1225</v>
      </c>
      <c r="C34" s="255">
        <f ca="1">ROUND(C32*10000/'数据-汇总表'!D3,0)</f>
        <v>25641</v>
      </c>
      <c r="D34" s="1241" t="s">
        <v>1224</v>
      </c>
      <c r="E34" s="3843"/>
      <c r="F34" s="123" t="s">
        <v>307</v>
      </c>
      <c r="G34" s="290"/>
      <c r="H34" s="101"/>
      <c r="I34" s="302"/>
      <c r="J34" s="1751"/>
      <c r="K34" s="1129" t="str">
        <f>IF(K33="——","——","大写金额：人民币"&amp;NUMBERSTRING(INT(O41*10000),2)&amp;"元整")</f>
        <v>——</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1709</v>
      </c>
      <c r="D35" s="1244" t="s">
        <v>1226</v>
      </c>
      <c r="E35" s="3844"/>
      <c r="F35" s="292" t="s">
        <v>308</v>
      </c>
      <c r="G35" s="943"/>
      <c r="H35" s="942" t="s">
        <v>309</v>
      </c>
      <c r="I35" s="302"/>
      <c r="J35" s="1751"/>
      <c r="K35" s="3848" t="s">
        <v>316</v>
      </c>
      <c r="L35" s="3848" t="s">
        <v>317</v>
      </c>
      <c r="M35" s="1132" t="s">
        <v>318</v>
      </c>
      <c r="N35" s="3848" t="s">
        <v>319</v>
      </c>
      <c r="O35" s="3848" t="s">
        <v>320</v>
      </c>
      <c r="P35" s="1751"/>
      <c r="V35" s="1751"/>
    </row>
    <row r="36" spans="1:26" ht="16.5" customHeight="1">
      <c r="A36" s="294" t="s">
        <v>310</v>
      </c>
      <c r="B36" s="295" t="s">
        <v>299</v>
      </c>
      <c r="C36" s="296" t="s">
        <v>311</v>
      </c>
      <c r="D36" s="296" t="s">
        <v>312</v>
      </c>
      <c r="E36" s="297" t="s">
        <v>313</v>
      </c>
      <c r="F36" s="302"/>
      <c r="G36" s="302"/>
      <c r="H36" s="302"/>
      <c r="I36" s="302"/>
      <c r="J36" s="1753"/>
      <c r="K36" s="3849"/>
      <c r="L36" s="3849"/>
      <c r="M36" s="1134" t="s">
        <v>321</v>
      </c>
      <c r="N36" s="3849"/>
      <c r="O36" s="3849"/>
      <c r="P36" s="1751"/>
      <c r="V36" s="1751"/>
    </row>
    <row r="37" spans="1:26" ht="16.5" customHeight="1" thickBot="1">
      <c r="A37" s="1128" t="s">
        <v>314</v>
      </c>
      <c r="B37" s="298"/>
      <c r="C37" s="285"/>
      <c r="D37" s="285"/>
      <c r="E37" s="286"/>
      <c r="F37" s="302"/>
      <c r="G37" s="302"/>
      <c r="H37" s="302"/>
      <c r="I37" s="302"/>
      <c r="J37" s="1753"/>
      <c r="K37" s="3850"/>
      <c r="L37" s="3850"/>
      <c r="M37" s="1135"/>
      <c r="N37" s="3850"/>
      <c r="O37" s="3850"/>
      <c r="P37" s="1751"/>
      <c r="V37" s="1751"/>
    </row>
    <row r="38" spans="1:26" ht="16.5" customHeight="1" thickBot="1">
      <c r="A38" s="1128" t="s">
        <v>315</v>
      </c>
      <c r="B38" s="298"/>
      <c r="C38" s="285"/>
      <c r="D38" s="285"/>
      <c r="E38" s="286"/>
      <c r="F38" s="302"/>
      <c r="G38" s="302"/>
      <c r="H38" s="302"/>
      <c r="I38" s="302"/>
      <c r="J38" s="1753"/>
      <c r="K38" s="1136">
        <f>'数据-汇总表'!D3</f>
        <v>39137.980000000003</v>
      </c>
      <c r="L38" s="1137">
        <f>'数据-汇总表'!E3</f>
        <v>127861.33</v>
      </c>
      <c r="M38" s="1137">
        <f ca="1">C34</f>
        <v>25641</v>
      </c>
      <c r="N38" s="1137">
        <f ca="1">C33</f>
        <v>7849</v>
      </c>
      <c r="O38" s="1138">
        <f ca="1">C32</f>
        <v>100354</v>
      </c>
      <c r="P38" s="1751"/>
      <c r="V38" s="1751"/>
    </row>
    <row r="39" spans="1:26" ht="16.5" customHeight="1" thickBot="1">
      <c r="A39" s="1133"/>
      <c r="B39" s="299"/>
      <c r="C39" s="300"/>
      <c r="D39" s="300"/>
      <c r="E39" s="301"/>
      <c r="F39" s="302"/>
      <c r="G39" s="302"/>
      <c r="H39" s="302"/>
      <c r="I39" s="302"/>
      <c r="J39" s="1753"/>
      <c r="K39" s="3861" t="str">
        <f>MID(A44,3,LEN(A44)-2)</f>
        <v>抵押价格</v>
      </c>
      <c r="L39" s="3862"/>
      <c r="M39" s="3862"/>
      <c r="N39" s="3863"/>
      <c r="O39" s="1246">
        <f ca="1">C44</f>
        <v>100354</v>
      </c>
      <c r="P39" s="1751"/>
      <c r="V39" s="1751"/>
    </row>
    <row r="40" spans="1:26" ht="19.5" thickBot="1">
      <c r="A40" s="100" t="s">
        <v>810</v>
      </c>
      <c r="B40" s="302"/>
      <c r="C40" s="302"/>
      <c r="D40" s="302"/>
      <c r="E40" s="302"/>
      <c r="F40" s="302"/>
      <c r="G40" s="302"/>
      <c r="H40" s="302"/>
      <c r="I40" s="302"/>
      <c r="J40" s="1753"/>
      <c r="K40" s="3861" t="str">
        <f>MID(A45,3,LEN(A45)-2)</f>
        <v/>
      </c>
      <c r="L40" s="3862"/>
      <c r="M40" s="3862"/>
      <c r="N40" s="3863"/>
      <c r="O40" s="1246" t="str">
        <f>C45</f>
        <v>——</v>
      </c>
      <c r="P40" s="1751"/>
      <c r="V40" s="1751"/>
    </row>
    <row r="41" spans="1:26" ht="16.5" thickBot="1">
      <c r="A41" s="303" t="s">
        <v>322</v>
      </c>
      <c r="B41" s="304"/>
      <c r="C41" s="305" t="s">
        <v>323</v>
      </c>
      <c r="D41" s="306" t="s">
        <v>324</v>
      </c>
      <c r="E41" s="306" t="s">
        <v>325</v>
      </c>
      <c r="F41" s="307" t="s">
        <v>326</v>
      </c>
      <c r="G41" s="302"/>
      <c r="H41" s="302"/>
      <c r="I41" s="302"/>
      <c r="J41" s="1753"/>
      <c r="K41" s="3861" t="str">
        <f>MID(A46,3,LEN(A46)-2)</f>
        <v/>
      </c>
      <c r="L41" s="3862"/>
      <c r="M41" s="3862"/>
      <c r="N41" s="3863"/>
      <c r="O41" s="1246" t="str">
        <f>C46</f>
        <v>——</v>
      </c>
      <c r="P41" s="1751"/>
      <c r="V41" s="1751"/>
    </row>
    <row r="42" spans="1:26" ht="29.25">
      <c r="A42" s="3890" t="s">
        <v>1584</v>
      </c>
      <c r="B42" s="3891"/>
      <c r="C42" s="255">
        <f ca="1">C32</f>
        <v>100354</v>
      </c>
      <c r="D42" s="308">
        <f ca="1">C33</f>
        <v>7849</v>
      </c>
      <c r="E42" s="308">
        <f ca="1">C34</f>
        <v>25641</v>
      </c>
      <c r="F42" s="309">
        <f ca="1">C35</f>
        <v>1709</v>
      </c>
      <c r="G42" s="302"/>
      <c r="H42" s="302"/>
      <c r="I42" s="310"/>
      <c r="J42" s="1753"/>
      <c r="K42" s="1139" t="s">
        <v>327</v>
      </c>
      <c r="L42" s="1770" t="s">
        <v>328</v>
      </c>
      <c r="M42" s="1140" t="s">
        <v>329</v>
      </c>
      <c r="N42" s="1771" t="s">
        <v>330</v>
      </c>
      <c r="O42" s="1772" t="s">
        <v>331</v>
      </c>
      <c r="P42" s="1751"/>
      <c r="V42" s="1751"/>
    </row>
    <row r="43" spans="1:26" ht="30">
      <c r="A43" s="3900" t="s">
        <v>2009</v>
      </c>
      <c r="B43" s="3901"/>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97795</v>
      </c>
      <c r="M43" s="1143">
        <f>C18</f>
        <v>0.5</v>
      </c>
      <c r="N43" s="1144">
        <f ca="1">IF(N42="测算结果/万元",G19,G20)</f>
        <v>100354</v>
      </c>
      <c r="O43" s="1145">
        <f ca="1">IF(O42="最终结果/万元",C32,C33)</f>
        <v>100354</v>
      </c>
      <c r="P43" s="1751"/>
      <c r="V43" s="1751"/>
    </row>
    <row r="44" spans="1:26" ht="30.75" thickBot="1">
      <c r="A44" s="3890" t="str">
        <f>IF(OR(项目基本情况!E8="抵押价格",项目基本情况!E8="已注销及未注销"),"3.抵押价格","——")</f>
        <v>3.抵押价格</v>
      </c>
      <c r="B44" s="3891"/>
      <c r="C44" s="255">
        <f ca="1">IF(A44="——","——",C42-C43)</f>
        <v>100354</v>
      </c>
      <c r="D44" s="308">
        <f ca="1">ROUND(C44*10000/'数据-汇总表'!E3,0)</f>
        <v>7849</v>
      </c>
      <c r="E44" s="308">
        <f ca="1">ROUND(C44*10000/'数据-汇总表'!D3,0)</f>
        <v>25641</v>
      </c>
      <c r="F44" s="309">
        <f ca="1">ROUND(C44/('数据-汇总表'!D3/666.67),0)</f>
        <v>1709</v>
      </c>
      <c r="G44" s="302"/>
      <c r="H44" s="302"/>
      <c r="I44" s="310"/>
      <c r="J44" s="1753"/>
      <c r="K44" s="1146" t="str">
        <f>D4</f>
        <v>剩余法-待开发</v>
      </c>
      <c r="L44" s="1147">
        <f ca="1">IF(L42="估价结果/万元",D19,D20)</f>
        <v>102912</v>
      </c>
      <c r="M44" s="1148">
        <f>D18</f>
        <v>0.5</v>
      </c>
      <c r="N44" s="1149"/>
      <c r="O44" s="1150"/>
      <c r="P44" s="1751"/>
      <c r="V44" s="1751"/>
    </row>
    <row r="45" spans="1:26" ht="15">
      <c r="A45" s="3895" t="str">
        <f>IF(项目基本情况!E8="已注销及未注销","4.抵押担保权已注销时的抵押价格",IF(项目基本情况!E8="已注销","3.抵押担保权已注销时的抵押价格","——"))</f>
        <v>——</v>
      </c>
      <c r="B45" s="3896"/>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92" t="str">
        <f>IF(项目基本情况!E9="抵押净值",IF(A45="——","4.抵押净值","5.抵押净值"),"——")</f>
        <v>——</v>
      </c>
      <c r="B46" s="3893"/>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53" t="s">
        <v>340</v>
      </c>
      <c r="B63" s="3854"/>
      <c r="C63" s="3855"/>
      <c r="D63" s="332">
        <f ca="1">ROUND(C42*F63,0)</f>
        <v>100354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97" t="s">
        <v>344</v>
      </c>
      <c r="B64" s="3898"/>
      <c r="C64" s="3898"/>
      <c r="D64" s="3898"/>
      <c r="E64" s="3898"/>
      <c r="F64" s="3898"/>
      <c r="G64" s="3899"/>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94" t="s">
        <v>352</v>
      </c>
      <c r="B66" s="3860"/>
      <c r="C66" s="3860"/>
      <c r="D66" s="252" t="b">
        <f>IF(H66="情况1",0,IF(H66="情况2",D70,IF(H66="情况3",D71,IF(H66="情况4",D72))))</f>
        <v>0</v>
      </c>
      <c r="E66" s="954" t="str">
        <f>IF(H66="情况4","(销售额-原购置价)×税（费）率","销售额×税（费）率")</f>
        <v>销售额×税（费）率</v>
      </c>
      <c r="F66" s="341">
        <f>IF(H66="情况1","免征",'数据-取费表'!B41)</f>
        <v>5.6000000000000001E-2</v>
      </c>
      <c r="G66" s="342" t="s">
        <v>353</v>
      </c>
      <c r="H66" s="184"/>
      <c r="I66" s="1156"/>
      <c r="J66" s="1757"/>
      <c r="K66" s="1159">
        <v>1</v>
      </c>
      <c r="L66" s="3821" t="s">
        <v>351</v>
      </c>
      <c r="M66" s="3822"/>
      <c r="N66" s="2109"/>
      <c r="O66" s="2110"/>
      <c r="P66" s="2111"/>
      <c r="Q66" s="1751"/>
      <c r="R66" s="1751"/>
      <c r="S66" s="1751"/>
      <c r="T66" s="1751"/>
      <c r="U66" s="1751"/>
      <c r="V66" s="1751"/>
    </row>
    <row r="67" spans="1:22" ht="25.5" customHeight="1">
      <c r="A67" s="343" t="s">
        <v>355</v>
      </c>
      <c r="B67" s="3872" t="s">
        <v>356</v>
      </c>
      <c r="C67" s="3872"/>
      <c r="D67" s="344">
        <v>0</v>
      </c>
      <c r="E67" s="39" t="s">
        <v>357</v>
      </c>
      <c r="F67" s="60" t="s">
        <v>15</v>
      </c>
      <c r="G67" s="3856"/>
      <c r="H67" s="2748" t="s">
        <v>2249</v>
      </c>
      <c r="I67" s="2750"/>
      <c r="J67" s="1758"/>
      <c r="K67" s="1730">
        <v>2</v>
      </c>
      <c r="L67" s="3826" t="s">
        <v>354</v>
      </c>
      <c r="M67" s="3826"/>
      <c r="N67" s="1193">
        <f>'数据-取费表'!B2</f>
        <v>45034</v>
      </c>
      <c r="O67" s="1193"/>
      <c r="P67" s="1193"/>
      <c r="Q67" s="1751"/>
      <c r="R67" s="1751"/>
      <c r="S67" s="1751"/>
      <c r="T67" s="1751"/>
      <c r="U67" s="1751"/>
      <c r="V67" s="1751"/>
    </row>
    <row r="68" spans="1:22" ht="25.5" customHeight="1">
      <c r="A68" s="345"/>
      <c r="B68" s="3872" t="s">
        <v>359</v>
      </c>
      <c r="C68" s="3872"/>
      <c r="D68" s="346"/>
      <c r="E68" s="75"/>
      <c r="F68" s="347"/>
      <c r="G68" s="3857"/>
      <c r="H68" s="2749" t="s">
        <v>2250</v>
      </c>
      <c r="I68" s="2750"/>
      <c r="J68" s="1758"/>
      <c r="K68" s="1730">
        <v>3</v>
      </c>
      <c r="L68" s="3826" t="s">
        <v>358</v>
      </c>
      <c r="M68" s="3826"/>
      <c r="N68" s="1161">
        <f ca="1">C42</f>
        <v>100354</v>
      </c>
      <c r="O68" s="1161"/>
      <c r="P68" s="1161"/>
      <c r="Q68" s="1751"/>
      <c r="R68" s="1751"/>
      <c r="S68" s="1751"/>
      <c r="T68" s="1751"/>
      <c r="U68" s="1751"/>
      <c r="V68" s="1751"/>
    </row>
    <row r="69" spans="1:22" ht="23.45" customHeight="1">
      <c r="A69" s="348"/>
      <c r="B69" s="3872" t="s">
        <v>360</v>
      </c>
      <c r="C69" s="3872"/>
      <c r="D69" s="349"/>
      <c r="E69" s="71"/>
      <c r="F69" s="347"/>
      <c r="G69" s="3858"/>
      <c r="H69" s="2749" t="s">
        <v>2251</v>
      </c>
      <c r="I69" s="2750"/>
      <c r="J69" s="1758"/>
      <c r="K69" s="1162">
        <v>4</v>
      </c>
      <c r="L69" s="3827" t="s">
        <v>2154</v>
      </c>
      <c r="M69" s="3828"/>
      <c r="N69" s="1163">
        <f ca="1">C44</f>
        <v>100354</v>
      </c>
      <c r="O69" s="1163"/>
      <c r="P69" s="1163"/>
      <c r="Q69" s="1751"/>
      <c r="R69" s="1751"/>
      <c r="S69" s="1751"/>
      <c r="T69" s="1751"/>
      <c r="U69" s="1751"/>
      <c r="V69" s="1751"/>
    </row>
    <row r="70" spans="1:22" ht="24" customHeight="1">
      <c r="A70" s="350" t="s">
        <v>361</v>
      </c>
      <c r="B70" s="3872" t="s">
        <v>362</v>
      </c>
      <c r="C70" s="3872"/>
      <c r="D70" s="349">
        <f ca="1">ROUND(D63*'数据-取费表'!B41/(1+'数据-取费表'!C42),0)</f>
        <v>5352</v>
      </c>
      <c r="E70" s="15" t="s">
        <v>363</v>
      </c>
      <c r="F70" s="351">
        <f>'数据-取费表'!B41</f>
        <v>5.6000000000000001E-2</v>
      </c>
      <c r="G70" s="352"/>
      <c r="H70" s="302"/>
      <c r="I70" s="1160"/>
      <c r="J70" s="1758"/>
      <c r="K70" s="2521"/>
      <c r="L70" s="2522"/>
      <c r="M70" s="2522"/>
      <c r="N70" s="2523" t="s">
        <v>2158</v>
      </c>
      <c r="O70" s="2522"/>
      <c r="P70" s="2524"/>
      <c r="Q70" s="1751"/>
      <c r="R70" s="1751"/>
      <c r="S70" s="1751"/>
      <c r="T70" s="1751"/>
      <c r="U70" s="1751"/>
      <c r="V70" s="1751"/>
    </row>
    <row r="71" spans="1:22" ht="12" customHeight="1">
      <c r="A71" s="350" t="s">
        <v>369</v>
      </c>
      <c r="B71" s="3871" t="s">
        <v>2278</v>
      </c>
      <c r="C71" s="3888"/>
      <c r="D71" s="349">
        <f ca="1">ROUND(D63*'数据-取费表'!B41/(1+'数据-取费表'!C42),0)</f>
        <v>5352</v>
      </c>
      <c r="E71" s="15" t="s">
        <v>363</v>
      </c>
      <c r="F71" s="351">
        <f>'数据-取费表'!B41</f>
        <v>5.6000000000000001E-2</v>
      </c>
      <c r="G71" s="352"/>
      <c r="H71" s="302"/>
      <c r="I71" s="1160"/>
      <c r="J71" s="1758"/>
      <c r="K71" s="2520" t="s">
        <v>364</v>
      </c>
      <c r="L71" s="3829" t="s">
        <v>365</v>
      </c>
      <c r="M71" s="3829"/>
      <c r="N71" s="2520" t="s">
        <v>366</v>
      </c>
      <c r="O71" s="2520" t="s">
        <v>367</v>
      </c>
      <c r="P71" s="2520" t="s">
        <v>368</v>
      </c>
      <c r="Q71" s="1751"/>
      <c r="R71" s="1751"/>
      <c r="S71" s="1751"/>
      <c r="T71" s="1751"/>
      <c r="U71" s="1751"/>
      <c r="V71" s="1751"/>
    </row>
    <row r="72" spans="1:22" ht="12" customHeight="1">
      <c r="A72" s="350" t="s">
        <v>371</v>
      </c>
      <c r="B72" s="3871" t="s">
        <v>2279</v>
      </c>
      <c r="C72" s="3888"/>
      <c r="D72" s="349">
        <f ca="1">C86</f>
        <v>5352</v>
      </c>
      <c r="E72" s="71" t="s">
        <v>372</v>
      </c>
      <c r="F72" s="351">
        <f>'数据-取费表'!B41</f>
        <v>5.6000000000000001E-2</v>
      </c>
      <c r="G72" s="352"/>
      <c r="H72" s="1166"/>
      <c r="I72" s="1160"/>
      <c r="J72" s="1758"/>
      <c r="K72" s="1730">
        <v>1</v>
      </c>
      <c r="L72" s="3825" t="s">
        <v>370</v>
      </c>
      <c r="M72" s="3825"/>
      <c r="N72" s="1164" t="b">
        <f>D66</f>
        <v>0</v>
      </c>
      <c r="O72" s="1635" t="str">
        <f>E66</f>
        <v>销售额×税（费）率</v>
      </c>
      <c r="P72" s="1165">
        <f>F66</f>
        <v>5.6000000000000001E-2</v>
      </c>
      <c r="Q72" s="1751"/>
      <c r="R72" s="1751"/>
      <c r="S72" s="1751"/>
      <c r="T72" s="1751"/>
      <c r="U72" s="1751"/>
      <c r="V72" s="1751"/>
    </row>
    <row r="73" spans="1:22" ht="24" customHeight="1">
      <c r="A73" s="3859" t="s">
        <v>374</v>
      </c>
      <c r="B73" s="3860"/>
      <c r="C73" s="3860"/>
      <c r="D73" s="353">
        <f ca="1">IF(H73="个人住宅",0,ROUND(D63*I73,0))</f>
        <v>50</v>
      </c>
      <c r="E73" s="15" t="s">
        <v>375</v>
      </c>
      <c r="F73" s="351" t="str">
        <f>IF(H73="正常",I73,"免征")</f>
        <v>免征</v>
      </c>
      <c r="G73" s="352"/>
      <c r="H73" s="184"/>
      <c r="I73" s="351">
        <f>'数据-取费表'!B49</f>
        <v>5.0000000000000001E-4</v>
      </c>
      <c r="J73" s="1758"/>
      <c r="K73" s="1730">
        <v>2</v>
      </c>
      <c r="L73" s="3825" t="s">
        <v>373</v>
      </c>
      <c r="M73" s="3825"/>
      <c r="N73" s="1164">
        <f t="shared" ref="N73:P74" ca="1" si="0">D73</f>
        <v>50</v>
      </c>
      <c r="O73" s="1635" t="str">
        <f t="shared" si="0"/>
        <v>销售额×税（费）率</v>
      </c>
      <c r="P73" s="1165" t="str">
        <f t="shared" si="0"/>
        <v>免征</v>
      </c>
      <c r="Q73" s="1751"/>
      <c r="R73" s="1751"/>
      <c r="S73" s="1751"/>
      <c r="T73" s="1751"/>
      <c r="U73" s="1751"/>
      <c r="V73" s="1751"/>
    </row>
    <row r="74" spans="1:22" ht="24.75">
      <c r="A74" s="3859" t="s">
        <v>377</v>
      </c>
      <c r="B74" s="3860"/>
      <c r="C74" s="3860"/>
      <c r="D74" s="353">
        <f ca="1">IF(H74="个人住宅",D75,D76)</f>
        <v>56801</v>
      </c>
      <c r="E74" s="15" t="s">
        <v>378</v>
      </c>
      <c r="F74" s="351" t="str">
        <f>IF(H74="正常",F76,"免征")</f>
        <v>免征</v>
      </c>
      <c r="G74" s="944" t="s">
        <v>379</v>
      </c>
      <c r="H74" s="354"/>
      <c r="I74" s="40"/>
      <c r="J74" s="1758"/>
      <c r="K74" s="1730">
        <v>3</v>
      </c>
      <c r="L74" s="3825" t="s">
        <v>376</v>
      </c>
      <c r="M74" s="3825"/>
      <c r="N74" s="1164">
        <f t="shared" ca="1" si="0"/>
        <v>56801</v>
      </c>
      <c r="O74" s="1635" t="str">
        <f t="shared" si="0"/>
        <v>增值额×税（费）率</v>
      </c>
      <c r="P74" s="1167" t="str">
        <f t="shared" si="0"/>
        <v>免征</v>
      </c>
      <c r="Q74" s="1751"/>
      <c r="R74" s="1751"/>
      <c r="S74" s="1751"/>
      <c r="T74" s="1751"/>
      <c r="U74" s="1751"/>
      <c r="V74" s="1751"/>
    </row>
    <row r="75" spans="1:22" ht="12.75">
      <c r="A75" s="350" t="s">
        <v>380</v>
      </c>
      <c r="B75" s="3840" t="s">
        <v>381</v>
      </c>
      <c r="C75" s="3841"/>
      <c r="D75" s="355">
        <v>0</v>
      </c>
      <c r="E75" s="39" t="s">
        <v>382</v>
      </c>
      <c r="F75" s="356"/>
      <c r="G75" s="352"/>
      <c r="H75" s="40"/>
      <c r="I75" s="40"/>
      <c r="J75" s="1758"/>
      <c r="K75" s="2514">
        <f>IF(H77="非个人房产","",4)</f>
        <v>4</v>
      </c>
      <c r="L75" s="3825" t="str">
        <f>IF(H77="非个人房产","——","个人所得税")</f>
        <v>个人所得税</v>
      </c>
      <c r="M75" s="3825"/>
      <c r="N75" s="1168">
        <f>D77</f>
        <v>0</v>
      </c>
      <c r="O75" s="1636" t="str">
        <f>E77</f>
        <v>差额计税</v>
      </c>
      <c r="P75" s="1169">
        <f>F77</f>
        <v>0.01</v>
      </c>
      <c r="Q75" s="1751"/>
      <c r="R75" s="1751"/>
      <c r="S75" s="1751"/>
      <c r="T75" s="1751"/>
      <c r="U75" s="1751"/>
      <c r="V75" s="1751"/>
    </row>
    <row r="76" spans="1:22" ht="24.75">
      <c r="A76" s="350" t="s">
        <v>361</v>
      </c>
      <c r="B76" s="3840" t="s">
        <v>384</v>
      </c>
      <c r="C76" s="3882"/>
      <c r="D76" s="353">
        <f ca="1">IF(H76="转让取得",C99,C115)</f>
        <v>56801</v>
      </c>
      <c r="E76" s="15" t="s">
        <v>385</v>
      </c>
      <c r="F76" s="51" t="s">
        <v>15</v>
      </c>
      <c r="G76" s="352"/>
      <c r="H76" s="354"/>
      <c r="I76" s="40"/>
      <c r="J76" s="1758"/>
      <c r="K76" s="2514" t="str">
        <f>IF(项目基本情况!K6="上海银行",IF(K75="",4,K75+1),"")</f>
        <v/>
      </c>
      <c r="L76" s="3836" t="str">
        <f>IF(项目基本情况!K6="上海银行","其他处置费用","")</f>
        <v/>
      </c>
      <c r="M76" s="3837"/>
      <c r="N76" s="1164" t="str">
        <f>IF(项目基本情况!K6="上海银行",N89,"")</f>
        <v/>
      </c>
      <c r="O76" s="3838" t="str">
        <f>IF(项目基本情况!K6="上海银行","包含处置中涉及的律师、诉讼、拍卖、评估等费用","")</f>
        <v/>
      </c>
      <c r="P76" s="3839"/>
      <c r="Q76" s="1751"/>
      <c r="R76" s="1751"/>
      <c r="S76" s="1751"/>
      <c r="T76" s="1751"/>
      <c r="U76" s="1751"/>
      <c r="V76" s="1751"/>
    </row>
    <row r="77" spans="1:22" ht="24.75" thickBot="1">
      <c r="A77" s="3851" t="s">
        <v>387</v>
      </c>
      <c r="B77" s="3852"/>
      <c r="C77" s="385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2252</v>
      </c>
      <c r="J77" s="1758"/>
      <c r="K77" s="3847">
        <f>IF(AND(K75="",K76=""),4,IF(项目基本情况!K6="上海银行",K76+1,K75+1))</f>
        <v>5</v>
      </c>
      <c r="L77" s="3825" t="s">
        <v>2155</v>
      </c>
      <c r="M77" s="2519" t="s">
        <v>383</v>
      </c>
      <c r="N77" s="1170"/>
      <c r="O77" s="1171">
        <f ca="1">SUMIF(N72:N76,"&lt;9e307")</f>
        <v>56851</v>
      </c>
      <c r="P77" s="1172"/>
      <c r="Q77" s="2517">
        <f ca="1">O77/N69</f>
        <v>0.5665045738087171</v>
      </c>
      <c r="R77" s="1751"/>
      <c r="S77" s="1751"/>
      <c r="T77" s="1751"/>
      <c r="U77" s="1751"/>
      <c r="V77" s="1751"/>
    </row>
    <row r="78" spans="1:22" ht="12" customHeight="1">
      <c r="A78" s="1173"/>
      <c r="B78" s="302"/>
      <c r="C78" s="302"/>
      <c r="D78" s="302"/>
      <c r="E78" s="40"/>
      <c r="F78" s="40"/>
      <c r="G78" s="40"/>
      <c r="H78" s="964"/>
      <c r="I78" s="302"/>
      <c r="J78" s="1758"/>
      <c r="K78" s="3847"/>
      <c r="L78" s="3825"/>
      <c r="M78" s="2519" t="s">
        <v>386</v>
      </c>
      <c r="N78" s="1170"/>
      <c r="O78" s="1171" t="str">
        <f ca="1">NUMBERSTRING(INT(O77*10000),2)&amp;"元整"</f>
        <v>伍亿陆仟捌佰伍拾壹万元整</v>
      </c>
      <c r="P78" s="1172"/>
      <c r="Q78" s="1751"/>
      <c r="R78" s="1751"/>
      <c r="S78" s="1751"/>
      <c r="T78" s="1751"/>
      <c r="U78" s="1751"/>
      <c r="V78" s="1751"/>
    </row>
    <row r="79" spans="1:22" ht="13.5" thickBot="1">
      <c r="A79" s="3902" t="s">
        <v>388</v>
      </c>
      <c r="B79" s="3902"/>
      <c r="C79" s="3902"/>
      <c r="D79" s="3902"/>
      <c r="E79" s="3902"/>
      <c r="F79" s="40"/>
      <c r="G79" s="40"/>
      <c r="H79" s="964"/>
      <c r="I79" s="302"/>
      <c r="J79" s="1758"/>
      <c r="K79" s="3823">
        <f>K77+1</f>
        <v>6</v>
      </c>
      <c r="L79" s="3825" t="s">
        <v>2156</v>
      </c>
      <c r="M79" s="2519" t="s">
        <v>383</v>
      </c>
      <c r="N79" s="1170"/>
      <c r="O79" s="1171">
        <f ca="1">N69-O77</f>
        <v>43503</v>
      </c>
      <c r="P79" s="1172"/>
      <c r="Q79" s="1751"/>
      <c r="R79" s="1751"/>
      <c r="S79" s="1751"/>
      <c r="T79" s="1751"/>
      <c r="U79" s="1751"/>
      <c r="V79" s="1751"/>
    </row>
    <row r="80" spans="1:22" ht="25.5">
      <c r="A80" s="3833" t="s">
        <v>389</v>
      </c>
      <c r="B80" s="3834"/>
      <c r="C80" s="955"/>
      <c r="D80" s="955" t="s">
        <v>390</v>
      </c>
      <c r="E80" s="357" t="s">
        <v>391</v>
      </c>
      <c r="F80" s="40"/>
      <c r="G80" s="40"/>
      <c r="H80" s="964"/>
      <c r="I80" s="302"/>
      <c r="J80" s="1751"/>
      <c r="K80" s="3824"/>
      <c r="L80" s="3825"/>
      <c r="M80" s="2519" t="s">
        <v>386</v>
      </c>
      <c r="N80" s="1170"/>
      <c r="O80" s="1171" t="str">
        <f ca="1">NUMBERSTRING(INT(O79*10000),2)&amp;"元整"</f>
        <v>肆亿叁仟伍佰零叁万元整</v>
      </c>
      <c r="P80" s="1172"/>
      <c r="Q80" s="1751"/>
      <c r="R80" s="1751"/>
      <c r="S80" s="1751"/>
      <c r="T80" s="1751"/>
      <c r="U80" s="1751"/>
      <c r="V80" s="1751"/>
    </row>
    <row r="81" spans="1:26" ht="13.5" thickBot="1">
      <c r="A81" s="368" t="s">
        <v>1352</v>
      </c>
      <c r="B81" s="358" t="s">
        <v>392</v>
      </c>
      <c r="C81" s="359">
        <f ca="1">ROUND((C82+C83)/(1+'数据-取费表'!C42),0)</f>
        <v>95575</v>
      </c>
      <c r="D81" s="360"/>
      <c r="E81" s="361"/>
      <c r="F81" s="40"/>
      <c r="G81" s="40"/>
      <c r="H81" s="964"/>
      <c r="I81" s="302"/>
      <c r="J81" s="1751"/>
      <c r="K81" s="2514">
        <f>K79+1</f>
        <v>7</v>
      </c>
      <c r="L81" s="3845" t="s">
        <v>2157</v>
      </c>
      <c r="M81" s="3846"/>
      <c r="N81" s="1174"/>
      <c r="O81" s="1175">
        <f ca="1">ROUND(O79*10000/'数据-汇总表'!E3,0)</f>
        <v>3402</v>
      </c>
      <c r="P81" s="1176"/>
      <c r="Q81" s="1751"/>
      <c r="R81" s="1751"/>
      <c r="S81" s="1751"/>
      <c r="T81" s="1751"/>
      <c r="U81" s="1751"/>
      <c r="V81" s="1751"/>
    </row>
    <row r="82" spans="1:26" ht="13.5" thickTop="1">
      <c r="A82" s="362" t="s">
        <v>1353</v>
      </c>
      <c r="B82" s="363" t="s">
        <v>393</v>
      </c>
      <c r="C82" s="364">
        <f ca="1">D63</f>
        <v>100354</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835" t="s">
        <v>2145</v>
      </c>
      <c r="L83" s="2525" t="s">
        <v>2146</v>
      </c>
      <c r="M83" s="2515">
        <f ca="1">IF(N69&gt;10000,N69*0.5%,IF(AND(N69&gt;1000,N69&lt;=10000),N69*1%,IF(AND(N69&gt;100,N69&lt;=1000),N69*3%,IF(AND(N69&gt;10,N69&lt;=100),N69*5%,N69*8%))))</f>
        <v>501.77000000000004</v>
      </c>
      <c r="N83" s="51">
        <f ca="1">ROUND(M83,1)</f>
        <v>501.8</v>
      </c>
      <c r="O83" s="2518"/>
      <c r="P83" s="1751"/>
      <c r="Q83" s="1751"/>
      <c r="R83" s="1751"/>
      <c r="S83" s="1751"/>
      <c r="T83" s="1751"/>
      <c r="U83" s="1751"/>
      <c r="V83" s="1751"/>
    </row>
    <row r="84" spans="1:26" ht="12.75">
      <c r="A84" s="368" t="s">
        <v>1355</v>
      </c>
      <c r="B84" s="369" t="s">
        <v>395</v>
      </c>
      <c r="C84" s="370"/>
      <c r="D84" s="371" t="s">
        <v>13</v>
      </c>
      <c r="E84" s="2541" t="s">
        <v>2195</v>
      </c>
      <c r="F84" s="40"/>
      <c r="G84" s="40"/>
      <c r="H84" s="964"/>
      <c r="I84" s="302"/>
      <c r="J84" s="1751"/>
      <c r="K84" s="3835"/>
      <c r="L84" s="2525" t="s">
        <v>2147</v>
      </c>
      <c r="M84" s="2515">
        <f ca="1">IF(N69&gt;2000,N69*0.5%,IF(AND(N69&gt;1000,N69&lt;=2000),N69*0.6%,IF(AND(N69&gt;500,N69&lt;=1000),N69*0.7%,IF(AND(N69&gt;200,N69&lt;=500),N69*0.8%,IF(AND(N69&gt;100,N69&lt;=200),N69*0.9%,IF(AND(N69&gt;50,N69&lt;=100),N69*1%,IF(AND(N69&gt;20,N69&lt;=50),N69*1.5%,IF(AND(N69&gt;10,N69&lt;=20),N69*2%,IF(AND(N69&gt;1,N69&lt;=10),N69*2.5%)))))))))</f>
        <v>501.77000000000004</v>
      </c>
      <c r="N84" s="51">
        <f ca="1">ROUND(M84,1)</f>
        <v>501.8</v>
      </c>
      <c r="O84" s="1751" t="s">
        <v>2148</v>
      </c>
      <c r="P84" s="1751"/>
      <c r="Q84" s="1751"/>
      <c r="R84" s="1751"/>
      <c r="S84" s="1751"/>
      <c r="T84" s="1751"/>
      <c r="U84" s="1751"/>
      <c r="V84" s="1751"/>
    </row>
    <row r="85" spans="1:26" ht="12.75">
      <c r="A85" s="368" t="s">
        <v>1356</v>
      </c>
      <c r="B85" s="369" t="s">
        <v>396</v>
      </c>
      <c r="C85" s="372">
        <f ca="1">C81-C84</f>
        <v>95575</v>
      </c>
      <c r="D85" s="365" t="s">
        <v>13</v>
      </c>
      <c r="E85" s="366"/>
      <c r="F85" s="40"/>
      <c r="G85" s="40"/>
      <c r="H85" s="964"/>
      <c r="I85" s="302"/>
      <c r="J85" s="1751"/>
      <c r="K85" s="3835"/>
      <c r="L85" s="2525" t="s">
        <v>2149</v>
      </c>
      <c r="M85" s="2515">
        <f ca="1">IF(N69&gt;1000,N69*0.1%,IF(AND(N69&gt;500,N69&lt;=1000),N69*0.5%,IF(AND(N69&gt;50,N69&lt;=500),N69*1%,IF(AND(N69&gt;1,N69&lt;=50),N69*1.5%))))</f>
        <v>100.354</v>
      </c>
      <c r="N85" s="51">
        <f ca="1">ROUND(M85,1)</f>
        <v>100.4</v>
      </c>
      <c r="O85" s="1751" t="s">
        <v>2148</v>
      </c>
      <c r="P85" s="1751"/>
      <c r="Q85" s="1751"/>
      <c r="R85" s="1751"/>
      <c r="S85" s="1751"/>
      <c r="T85" s="1751"/>
      <c r="U85" s="1751"/>
      <c r="V85" s="1751"/>
    </row>
    <row r="86" spans="1:26" ht="13.5" thickBot="1">
      <c r="A86" s="373" t="s">
        <v>1357</v>
      </c>
      <c r="B86" s="374" t="s">
        <v>397</v>
      </c>
      <c r="C86" s="375">
        <f ca="1">IF(C85&lt;=0,0,ROUND(C85*D86,0))</f>
        <v>5352</v>
      </c>
      <c r="D86" s="376">
        <f>'数据-取费表'!B41</f>
        <v>5.6000000000000001E-2</v>
      </c>
      <c r="E86" s="377"/>
      <c r="F86" s="40"/>
      <c r="G86" s="40"/>
      <c r="H86" s="964"/>
      <c r="I86" s="302"/>
      <c r="J86" s="1751"/>
      <c r="K86" s="3835"/>
      <c r="L86" s="2525" t="s">
        <v>2150</v>
      </c>
      <c r="M86" s="2515">
        <f ca="1">N69*0.5%</f>
        <v>501.77000000000004</v>
      </c>
      <c r="N86" s="51">
        <f ca="1">IF(M86&gt;0.5,0.5,ROUND(M86,0))</f>
        <v>0.5</v>
      </c>
      <c r="O86" s="1751" t="s">
        <v>2151</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835"/>
      <c r="L87" s="2525" t="s">
        <v>2152</v>
      </c>
      <c r="M87" s="2515">
        <f ca="1">IF(N69&gt;=10000,(8.25+(N69-10000)*0.01%),IF(AND(N69&gt;=8000,N69&lt;10000),(7.85+(N69-8000)*0.02%),IF(AND(N69&gt;=5000,N69&lt;8000),(6.65+(N69-5000)*0.04%),IF(AND(N69&gt;=2000,N69&lt;5000),(4.25+(PN69-2000)*0.08%),IF(AND(N69&gt;=1000,N69&lt;2000),(2.75+(N69-1000)*0.15%),IF(AND(N69&gt;=100,N69&lt;1000),(0.5+(N69-100)*0.25%),IF(AND(N69&gt;0,N69&lt;100),N69*0.5%)))))))</f>
        <v>17.285400000000003</v>
      </c>
      <c r="N87" s="51">
        <f ca="1">ROUND(M87*0.9,1)</f>
        <v>15.6</v>
      </c>
      <c r="O87" s="2518"/>
      <c r="P87" s="1751"/>
      <c r="Q87" s="1751"/>
      <c r="R87" s="1751"/>
      <c r="S87" s="1751"/>
      <c r="T87" s="1751"/>
      <c r="U87" s="1751"/>
      <c r="V87" s="1751"/>
      <c r="W87" s="283"/>
      <c r="X87" s="283"/>
      <c r="Y87" s="283"/>
      <c r="Z87" s="283"/>
    </row>
    <row r="88" spans="1:26" s="1182" customFormat="1" ht="15" thickBot="1">
      <c r="A88" s="3874" t="s">
        <v>398</v>
      </c>
      <c r="B88" s="3875"/>
      <c r="C88" s="3875"/>
      <c r="D88" s="3875"/>
      <c r="E88" s="3875"/>
      <c r="F88" s="3875"/>
      <c r="G88" s="3875"/>
      <c r="H88" s="3875"/>
      <c r="I88" s="1183"/>
      <c r="J88" s="1759"/>
      <c r="K88" s="3835"/>
      <c r="L88" s="2525" t="s">
        <v>2153</v>
      </c>
      <c r="M88" s="2515">
        <f ca="1">IF(N69&gt;10000,N69*0.5%,IF(AND(N69&gt;5000,N69&lt;=10000),N69*1%,IF(AND(N69&gt;1000,N69&lt;=5000),N69*2%,IF(AND(N69&gt;200,N69&lt;=1000),N69*3%,N69*5%))))</f>
        <v>501.77000000000004</v>
      </c>
      <c r="N88" s="51">
        <f ca="1">ROUND(M88,1)</f>
        <v>501.8</v>
      </c>
      <c r="O88" s="2518"/>
      <c r="P88" s="1756"/>
      <c r="Q88" s="1756"/>
      <c r="R88" s="1756"/>
      <c r="S88" s="1756"/>
      <c r="T88" s="1756"/>
      <c r="U88" s="1756"/>
      <c r="V88" s="1756"/>
      <c r="W88" s="1760"/>
      <c r="X88" s="1760"/>
      <c r="Y88" s="1760"/>
      <c r="Z88" s="1760"/>
    </row>
    <row r="89" spans="1:26" s="1182" customFormat="1" ht="14.25">
      <c r="A89" s="3833" t="s">
        <v>389</v>
      </c>
      <c r="B89" s="3834"/>
      <c r="C89" s="955"/>
      <c r="D89" s="955" t="s">
        <v>390</v>
      </c>
      <c r="E89" s="378" t="s">
        <v>399</v>
      </c>
      <c r="F89" s="379"/>
      <c r="G89" s="379"/>
      <c r="H89" s="380"/>
      <c r="I89" s="1184"/>
      <c r="J89" s="1761"/>
      <c r="K89" s="3835"/>
      <c r="L89" s="2525" t="s">
        <v>16</v>
      </c>
      <c r="M89" s="2516"/>
      <c r="N89" s="51">
        <f ca="1">ROUND(SUM(N83:N88),0)</f>
        <v>1622</v>
      </c>
      <c r="O89" s="2526">
        <f ca="1">N89/N69</f>
        <v>1.6162783745540785E-2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95575</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573</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71" t="s">
        <v>407</v>
      </c>
      <c r="F94" s="3872"/>
      <c r="G94" s="3872"/>
      <c r="H94" s="3873"/>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573</v>
      </c>
      <c r="D96" s="393">
        <f>'数据-取费表'!B43</f>
        <v>6.000000000000001E-3</v>
      </c>
      <c r="E96" s="3830" t="s">
        <v>1777</v>
      </c>
      <c r="F96" s="3831"/>
      <c r="G96" s="3831"/>
      <c r="H96" s="3832"/>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95002</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165.79755671902268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56801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74" t="s">
        <v>414</v>
      </c>
      <c r="B101" s="3875"/>
      <c r="C101" s="3875"/>
      <c r="D101" s="3875"/>
      <c r="E101" s="3875"/>
      <c r="F101" s="3875"/>
      <c r="G101" s="3875"/>
      <c r="H101" s="3875"/>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33" t="s">
        <v>389</v>
      </c>
      <c r="B102" s="3834"/>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95575</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573</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4" t="s">
        <v>2272</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86" t="s">
        <v>2244</v>
      </c>
      <c r="H108" s="3887"/>
      <c r="I108" s="2611"/>
      <c r="J108" s="1756"/>
      <c r="K108" s="2984" t="s">
        <v>2273</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64" t="s">
        <v>422</v>
      </c>
      <c r="F109" s="3831"/>
      <c r="G109" s="3831"/>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64" t="s">
        <v>424</v>
      </c>
      <c r="F110" s="3831"/>
      <c r="G110" s="3831"/>
      <c r="H110" s="3832"/>
      <c r="I110" s="9"/>
      <c r="J110" s="1756"/>
      <c r="K110" s="2985" t="s">
        <v>2274</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573</v>
      </c>
      <c r="D111" s="393">
        <f>'数据-取费表'!B43</f>
        <v>6.000000000000001E-3</v>
      </c>
      <c r="E111" s="3830" t="s">
        <v>1777</v>
      </c>
      <c r="F111" s="3831"/>
      <c r="G111" s="3831"/>
      <c r="H111" s="3832"/>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64" t="s">
        <v>1796</v>
      </c>
      <c r="F112" s="3831"/>
      <c r="G112" s="3831"/>
      <c r="H112" s="3832"/>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95002</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165.79755671902268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56801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21" t="str">
        <f>项目基本情况!B1</f>
        <v>海南省三亚市吉阳区抱坡村住宅、商业用地出让国有建设用地使用权抵押价格预评估</v>
      </c>
      <c r="C37" s="3721"/>
      <c r="D37" s="3721"/>
      <c r="E37" s="3721"/>
      <c r="F37" s="3721"/>
      <c r="G37" s="3721"/>
      <c r="H37" s="3721"/>
      <c r="I37" s="3721"/>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吴薇、郑燚</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 zoomScale="70" zoomScaleNormal="95" zoomScaleSheetLayoutView="70" workbookViewId="0">
      <selection activeCell="F58" sqref="F58"/>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97795</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7649</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24987</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1666</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26" t="s">
        <v>471</v>
      </c>
      <c r="D6" s="3927"/>
      <c r="E6" s="3926" t="s">
        <v>472</v>
      </c>
      <c r="F6" s="3927"/>
      <c r="G6" s="3926" t="s">
        <v>473</v>
      </c>
      <c r="H6" s="3927"/>
      <c r="I6" s="3926" t="s">
        <v>474</v>
      </c>
      <c r="J6" s="3927"/>
      <c r="K6" s="484" t="s">
        <v>475</v>
      </c>
      <c r="L6" s="1855"/>
      <c r="M6" s="1854"/>
      <c r="N6" s="1854"/>
      <c r="O6" s="1856"/>
      <c r="P6" s="3928" t="s">
        <v>476</v>
      </c>
      <c r="Q6" s="3929"/>
      <c r="R6" s="3912" t="s">
        <v>472</v>
      </c>
      <c r="S6" s="3913"/>
      <c r="T6" s="3912" t="s">
        <v>473</v>
      </c>
      <c r="U6" s="3913"/>
      <c r="V6" s="3934" t="s">
        <v>474</v>
      </c>
      <c r="W6" s="3934"/>
      <c r="X6" s="1379"/>
      <c r="Y6" s="3912" t="s">
        <v>476</v>
      </c>
      <c r="Z6" s="3913"/>
      <c r="AA6" s="3907" t="s">
        <v>472</v>
      </c>
      <c r="AB6" s="3908" t="s">
        <v>473</v>
      </c>
      <c r="AC6" s="3907" t="s">
        <v>474</v>
      </c>
    </row>
    <row r="7" spans="1:30" ht="42.75" customHeight="1">
      <c r="A7" s="485"/>
      <c r="B7" s="486"/>
      <c r="C7" s="3937" t="s">
        <v>2184</v>
      </c>
      <c r="D7" s="3938"/>
      <c r="E7" s="3937" t="str">
        <f>'案例-土地'!A2</f>
        <v>三亚海棠湾国家海岸休闲园区控规HT07-05-05地块</v>
      </c>
      <c r="F7" s="3938"/>
      <c r="G7" s="3937" t="str">
        <f>'案例-土地'!A3</f>
        <v>三亚中央商务区凤凰海岸单元控规YGHA06-02-09/10/11/12地块</v>
      </c>
      <c r="H7" s="3938"/>
      <c r="I7" s="3937" t="str">
        <f>'案例-土地'!A7</f>
        <v>三亚海棠湾国家海岸休闲园区控规HT05-05-01、HT05-05-03和HT05-05-04地块</v>
      </c>
      <c r="J7" s="3938"/>
      <c r="K7" s="484"/>
      <c r="L7" s="1855"/>
      <c r="M7" s="1854"/>
      <c r="N7" s="1854"/>
      <c r="O7" s="1856"/>
      <c r="P7" s="3930"/>
      <c r="Q7" s="3931"/>
      <c r="R7" s="3914"/>
      <c r="S7" s="3915"/>
      <c r="T7" s="3914"/>
      <c r="U7" s="3915"/>
      <c r="V7" s="3934"/>
      <c r="W7" s="3934"/>
      <c r="X7" s="1379"/>
      <c r="Y7" s="3914"/>
      <c r="Z7" s="3915"/>
      <c r="AA7" s="3908"/>
      <c r="AB7" s="3908"/>
      <c r="AC7" s="3908"/>
    </row>
    <row r="8" spans="1:30" ht="20.25" customHeight="1" thickBot="1">
      <c r="A8" s="485"/>
      <c r="B8" s="486"/>
      <c r="C8" s="3939" t="s">
        <v>2188</v>
      </c>
      <c r="D8" s="3940"/>
      <c r="E8" s="3939" t="s">
        <v>2188</v>
      </c>
      <c r="F8" s="3940"/>
      <c r="G8" s="3935" t="s">
        <v>2188</v>
      </c>
      <c r="H8" s="3936"/>
      <c r="I8" s="3935" t="s">
        <v>2188</v>
      </c>
      <c r="J8" s="3936"/>
      <c r="K8" s="484" t="s">
        <v>477</v>
      </c>
      <c r="L8" s="1855"/>
      <c r="M8" s="1854"/>
      <c r="N8" s="1854"/>
      <c r="O8" s="1856"/>
      <c r="P8" s="3932"/>
      <c r="Q8" s="3933"/>
      <c r="R8" s="3914"/>
      <c r="S8" s="3915"/>
      <c r="T8" s="3916"/>
      <c r="U8" s="3917"/>
      <c r="V8" s="3934"/>
      <c r="W8" s="3934"/>
      <c r="X8" s="1379"/>
      <c r="Y8" s="3916"/>
      <c r="Z8" s="3917"/>
      <c r="AA8" s="3909"/>
      <c r="AB8" s="3909"/>
      <c r="AC8" s="3909"/>
    </row>
    <row r="9" spans="1:30" s="1117" customFormat="1" ht="21" thickBot="1">
      <c r="A9" s="2391"/>
      <c r="B9" s="2398" t="s">
        <v>478</v>
      </c>
      <c r="C9" s="2390">
        <f>'数据-取费表'!B2</f>
        <v>45034</v>
      </c>
      <c r="D9" s="490">
        <v>100</v>
      </c>
      <c r="E9" s="491">
        <f>'案例-土地'!K2</f>
        <v>44925.000497685185</v>
      </c>
      <c r="F9" s="492">
        <f>SUMIF(71:71,YEAR(E9)&amp;"-"&amp;INT((MONTH(E9)+2)/3),72:72)</f>
        <v>98</v>
      </c>
      <c r="G9" s="493">
        <f>'案例-土地'!K3</f>
        <v>44916.000497685185</v>
      </c>
      <c r="H9" s="490">
        <f>SUMIF(71:71,YEAR(G9)&amp;"-"&amp;INT((MONTH(G9)+2)/3),72:72)</f>
        <v>98</v>
      </c>
      <c r="I9" s="493">
        <f>'案例-土地'!K7</f>
        <v>44858.000497685185</v>
      </c>
      <c r="J9" s="490">
        <f>SUMIF(71:71,YEAR(I9)&amp;"-"&amp;INT((MONTH(I9)+2)/3),72:72)</f>
        <v>98</v>
      </c>
      <c r="K9" s="494"/>
      <c r="L9" s="1857"/>
      <c r="M9" s="1854"/>
      <c r="N9" s="1854"/>
      <c r="O9" s="1858"/>
      <c r="P9" s="3910" t="s">
        <v>479</v>
      </c>
      <c r="Q9" s="3919"/>
      <c r="R9" s="1380" t="s">
        <v>5</v>
      </c>
      <c r="S9" s="1381">
        <f t="shared" ref="S9:S17" si="0">F9</f>
        <v>98</v>
      </c>
      <c r="T9" s="1380" t="s">
        <v>5</v>
      </c>
      <c r="U9" s="1381">
        <f t="shared" ref="U9:U17" si="1">H9</f>
        <v>98</v>
      </c>
      <c r="V9" s="1380" t="s">
        <v>5</v>
      </c>
      <c r="W9" s="1381">
        <f t="shared" ref="W9:W17" si="2">J9</f>
        <v>98</v>
      </c>
      <c r="X9" s="1382"/>
      <c r="Y9" s="3910" t="s">
        <v>479</v>
      </c>
      <c r="Z9" s="3911"/>
      <c r="AA9" s="1383">
        <f>D9/F9</f>
        <v>1.0204081632653061</v>
      </c>
      <c r="AB9" s="1383">
        <f>D9/H9</f>
        <v>1.0204081632653061</v>
      </c>
      <c r="AC9" s="1383">
        <f>D9/J9</f>
        <v>1.0204081632653061</v>
      </c>
    </row>
    <row r="10" spans="1:30" s="1117" customFormat="1" ht="21" thickBot="1">
      <c r="A10" s="2392"/>
      <c r="B10" s="2399"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7"/>
      <c r="M10" s="1854"/>
      <c r="N10" s="1854"/>
      <c r="O10" s="1858"/>
      <c r="P10" s="3910" t="s">
        <v>482</v>
      </c>
      <c r="Q10" s="3911"/>
      <c r="R10" s="1380" t="s">
        <v>5</v>
      </c>
      <c r="S10" s="1381">
        <f t="shared" si="0"/>
        <v>100</v>
      </c>
      <c r="T10" s="1380" t="s">
        <v>5</v>
      </c>
      <c r="U10" s="1381">
        <f t="shared" si="1"/>
        <v>100</v>
      </c>
      <c r="V10" s="1380" t="s">
        <v>5</v>
      </c>
      <c r="W10" s="1381">
        <f t="shared" si="2"/>
        <v>100</v>
      </c>
      <c r="X10" s="1382"/>
      <c r="Y10" s="3910" t="s">
        <v>482</v>
      </c>
      <c r="Z10" s="3911"/>
      <c r="AA10" s="1383">
        <f t="shared" ref="AA10:AA47" si="3">D10/F10</f>
        <v>1</v>
      </c>
      <c r="AB10" s="1383">
        <f t="shared" ref="AB10:AB47" si="4">D10/H10</f>
        <v>1</v>
      </c>
      <c r="AC10" s="1383">
        <f t="shared" ref="AC10:AC47" si="5">D10/J10</f>
        <v>1</v>
      </c>
    </row>
    <row r="11" spans="1:30" s="1117" customFormat="1" ht="20.25">
      <c r="A11" s="2393"/>
      <c r="B11" s="2400" t="s">
        <v>2035</v>
      </c>
      <c r="C11" s="2387" t="s">
        <v>3608</v>
      </c>
      <c r="D11" s="245">
        <v>100</v>
      </c>
      <c r="E11" s="2387" t="s">
        <v>3608</v>
      </c>
      <c r="F11" s="245">
        <f>SUMIF(76:76,E11,77:77)-SUMIF(76:76,C11,77:77)+100</f>
        <v>100</v>
      </c>
      <c r="G11" s="2387" t="s">
        <v>3608</v>
      </c>
      <c r="H11" s="245">
        <f>SUMIF(76:76,G11,77:77)-SUMIF(76:76,C11,77:77)+100</f>
        <v>100</v>
      </c>
      <c r="I11" s="2387" t="s">
        <v>3608</v>
      </c>
      <c r="J11" s="245">
        <f>SUMIF(76:76,I11,77:77)-SUMIF(76:76,C11,77:77)+100</f>
        <v>100</v>
      </c>
      <c r="K11" s="494"/>
      <c r="L11" s="1857"/>
      <c r="M11" s="1854"/>
      <c r="N11" s="1854"/>
      <c r="O11" s="1859"/>
      <c r="P11" s="3918" t="s">
        <v>484</v>
      </c>
      <c r="Q11" s="1049" t="str">
        <f t="shared" ref="Q11:Q17" si="6">B11</f>
        <v>用途</v>
      </c>
      <c r="R11" s="1380" t="s">
        <v>5</v>
      </c>
      <c r="S11" s="1381">
        <f t="shared" si="0"/>
        <v>100</v>
      </c>
      <c r="T11" s="1380" t="s">
        <v>5</v>
      </c>
      <c r="U11" s="1381">
        <f t="shared" si="1"/>
        <v>100</v>
      </c>
      <c r="V11" s="1380" t="s">
        <v>5</v>
      </c>
      <c r="W11" s="1381">
        <f t="shared" si="2"/>
        <v>100</v>
      </c>
      <c r="X11" s="1382"/>
      <c r="Y11" s="3870" t="s">
        <v>485</v>
      </c>
      <c r="Z11" s="1048" t="str">
        <f t="shared" ref="Z11:Z17" si="7">Q11</f>
        <v>用途</v>
      </c>
      <c r="AA11" s="1383">
        <f t="shared" si="3"/>
        <v>1</v>
      </c>
      <c r="AB11" s="1383">
        <f t="shared" si="4"/>
        <v>1</v>
      </c>
      <c r="AC11" s="1383">
        <f t="shared" si="5"/>
        <v>1</v>
      </c>
    </row>
    <row r="12" spans="1:30" s="1198" customFormat="1" ht="27">
      <c r="A12" s="2394"/>
      <c r="B12" s="2399" t="s">
        <v>2036</v>
      </c>
      <c r="C12" s="872">
        <f>'数据-取费表'!F6</f>
        <v>66.94</v>
      </c>
      <c r="D12" s="246">
        <v>100</v>
      </c>
      <c r="E12" s="499" t="s">
        <v>3374</v>
      </c>
      <c r="F12" s="246">
        <f>ROUND(100/'数据-取费表'!G16,0)</f>
        <v>101</v>
      </c>
      <c r="G12" s="499" t="s">
        <v>3374</v>
      </c>
      <c r="H12" s="246">
        <f>ROUND(100/'数据-取费表'!G16,0)</f>
        <v>101</v>
      </c>
      <c r="I12" s="499" t="s">
        <v>3374</v>
      </c>
      <c r="J12" s="246">
        <f>ROUND(100/'数据-取费表'!G16,0)</f>
        <v>101</v>
      </c>
      <c r="K12" s="501"/>
      <c r="L12" s="1860"/>
      <c r="M12" s="1854"/>
      <c r="N12" s="1854"/>
      <c r="O12" s="1861"/>
      <c r="P12" s="3918"/>
      <c r="Q12" s="1049" t="str">
        <f t="shared" si="6"/>
        <v>土地使用年限（年）</v>
      </c>
      <c r="R12" s="1380" t="s">
        <v>5</v>
      </c>
      <c r="S12" s="1381">
        <f t="shared" si="0"/>
        <v>101</v>
      </c>
      <c r="T12" s="1380" t="s">
        <v>5</v>
      </c>
      <c r="U12" s="1381">
        <f t="shared" si="1"/>
        <v>101</v>
      </c>
      <c r="V12" s="1380" t="s">
        <v>5</v>
      </c>
      <c r="W12" s="1381">
        <f t="shared" si="2"/>
        <v>101</v>
      </c>
      <c r="X12" s="1382"/>
      <c r="Y12" s="3870"/>
      <c r="Z12" s="1048" t="str">
        <f t="shared" si="7"/>
        <v>土地使用年限（年）</v>
      </c>
      <c r="AA12" s="1383">
        <f t="shared" si="3"/>
        <v>0.99009900990099009</v>
      </c>
      <c r="AB12" s="1383">
        <f t="shared" si="4"/>
        <v>0.99009900990099009</v>
      </c>
      <c r="AC12" s="1383">
        <f t="shared" si="5"/>
        <v>0.99009900990099009</v>
      </c>
    </row>
    <row r="13" spans="1:30" ht="20.25">
      <c r="A13" s="2395"/>
      <c r="B13" s="2399" t="s">
        <v>2037</v>
      </c>
      <c r="C13" s="504">
        <v>2.39</v>
      </c>
      <c r="D13" s="246">
        <v>100</v>
      </c>
      <c r="E13" s="503">
        <f>'案例-土地'!I2</f>
        <v>2</v>
      </c>
      <c r="F13" s="246">
        <f>LOOKUP(E13,81:81,82:82)-LOOKUP(C13,81:81,82:82)+100</f>
        <v>100</v>
      </c>
      <c r="G13" s="504">
        <f>'案例-土地'!I3</f>
        <v>3</v>
      </c>
      <c r="H13" s="246">
        <f>LOOKUP(G13,81:81,82:82)-LOOKUP(C13,81:81,82:82)+100</f>
        <v>95</v>
      </c>
      <c r="I13" s="503">
        <f>'案例-土地'!I7</f>
        <v>1.2</v>
      </c>
      <c r="J13" s="246">
        <f>LOOKUP(I13,81:81,82:82)-LOOKUP(C13,81:81,82:82)+100</f>
        <v>105</v>
      </c>
      <c r="K13" s="505">
        <v>5</v>
      </c>
      <c r="L13" s="1862"/>
      <c r="M13" s="1854"/>
      <c r="N13" s="1854"/>
      <c r="O13" s="1863"/>
      <c r="P13" s="3918"/>
      <c r="Q13" s="1049" t="str">
        <f t="shared" si="6"/>
        <v>容积率</v>
      </c>
      <c r="R13" s="1380" t="s">
        <v>5</v>
      </c>
      <c r="S13" s="1381">
        <f t="shared" si="0"/>
        <v>100</v>
      </c>
      <c r="T13" s="1380" t="s">
        <v>5</v>
      </c>
      <c r="U13" s="1381">
        <f t="shared" si="1"/>
        <v>95</v>
      </c>
      <c r="V13" s="1380" t="s">
        <v>5</v>
      </c>
      <c r="W13" s="1381">
        <f t="shared" si="2"/>
        <v>105</v>
      </c>
      <c r="X13" s="1382"/>
      <c r="Y13" s="3870"/>
      <c r="Z13" s="1048" t="str">
        <f t="shared" si="7"/>
        <v>容积率</v>
      </c>
      <c r="AA13" s="1383">
        <f t="shared" si="3"/>
        <v>1</v>
      </c>
      <c r="AB13" s="1383">
        <f t="shared" si="4"/>
        <v>1.0526315789473684</v>
      </c>
      <c r="AC13" s="1383">
        <f t="shared" si="5"/>
        <v>0.95238095238095233</v>
      </c>
    </row>
    <row r="14" spans="1:30" s="1117" customFormat="1" ht="21" thickBot="1">
      <c r="A14" s="2392"/>
      <c r="B14" s="2401" t="s">
        <v>2038</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18"/>
      <c r="Q14" s="1049" t="str">
        <f t="shared" si="6"/>
        <v>配建</v>
      </c>
      <c r="R14" s="1380" t="s">
        <v>5</v>
      </c>
      <c r="S14" s="1381">
        <f t="shared" si="0"/>
        <v>100</v>
      </c>
      <c r="T14" s="1380" t="s">
        <v>5</v>
      </c>
      <c r="U14" s="1381">
        <f t="shared" si="1"/>
        <v>100</v>
      </c>
      <c r="V14" s="1380" t="s">
        <v>5</v>
      </c>
      <c r="W14" s="1381">
        <f t="shared" si="2"/>
        <v>100</v>
      </c>
      <c r="X14" s="1382"/>
      <c r="Y14" s="3870"/>
      <c r="Z14" s="1048" t="str">
        <f t="shared" si="7"/>
        <v>配建</v>
      </c>
      <c r="AA14" s="1383">
        <f>D14/F14</f>
        <v>1</v>
      </c>
      <c r="AB14" s="1383">
        <f>D14/H14</f>
        <v>1</v>
      </c>
      <c r="AC14" s="1383">
        <f>D14/J14</f>
        <v>1</v>
      </c>
    </row>
    <row r="15" spans="1:30" ht="20.25" hidden="1">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18"/>
      <c r="Q15" s="1049">
        <f t="shared" si="6"/>
        <v>111</v>
      </c>
      <c r="R15" s="1380" t="s">
        <v>5</v>
      </c>
      <c r="S15" s="1381">
        <f t="shared" si="0"/>
        <v>100</v>
      </c>
      <c r="T15" s="1380" t="s">
        <v>5</v>
      </c>
      <c r="U15" s="1381">
        <f t="shared" si="1"/>
        <v>100</v>
      </c>
      <c r="V15" s="1380" t="s">
        <v>5</v>
      </c>
      <c r="W15" s="1381">
        <f t="shared" si="2"/>
        <v>100</v>
      </c>
      <c r="X15" s="1382"/>
      <c r="Y15" s="3870"/>
      <c r="Z15" s="1048">
        <f t="shared" si="7"/>
        <v>111</v>
      </c>
      <c r="AA15" s="1383">
        <f>D15/F15</f>
        <v>1</v>
      </c>
      <c r="AB15" s="1383">
        <f>D15/H15</f>
        <v>1</v>
      </c>
      <c r="AC15" s="1383">
        <f>D15/J15</f>
        <v>1</v>
      </c>
    </row>
    <row r="16" spans="1:30" ht="21" hidden="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18"/>
      <c r="Q16" s="1049">
        <f t="shared" si="6"/>
        <v>111</v>
      </c>
      <c r="R16" s="1380" t="s">
        <v>5</v>
      </c>
      <c r="S16" s="1381">
        <f t="shared" si="0"/>
        <v>100</v>
      </c>
      <c r="T16" s="1380" t="s">
        <v>5</v>
      </c>
      <c r="U16" s="1381">
        <f t="shared" si="1"/>
        <v>100</v>
      </c>
      <c r="V16" s="1380" t="s">
        <v>5</v>
      </c>
      <c r="W16" s="1381">
        <f t="shared" si="2"/>
        <v>100</v>
      </c>
      <c r="X16" s="1382"/>
      <c r="Y16" s="3870"/>
      <c r="Z16" s="1048">
        <f t="shared" si="7"/>
        <v>111</v>
      </c>
      <c r="AA16" s="1383">
        <f>D16/F16</f>
        <v>1</v>
      </c>
      <c r="AB16" s="1383">
        <f>D16/H16</f>
        <v>1</v>
      </c>
      <c r="AC16" s="1383">
        <f>D16/J16</f>
        <v>1</v>
      </c>
    </row>
    <row r="17" spans="1:29" ht="20.25">
      <c r="A17" s="2389" t="s">
        <v>2033</v>
      </c>
      <c r="B17" s="548" t="s">
        <v>261</v>
      </c>
      <c r="C17" s="518" t="str">
        <f>估价对象房地状况!C15</f>
        <v>一般</v>
      </c>
      <c r="D17" s="521">
        <v>100</v>
      </c>
      <c r="E17" s="534" t="s">
        <v>3271</v>
      </c>
      <c r="F17" s="519">
        <f>SUMIF(89:89,E18,90:90)-SUMIF(89:89,C18,90:90)+100</f>
        <v>100</v>
      </c>
      <c r="G17" s="4048" t="s">
        <v>3590</v>
      </c>
      <c r="H17" s="519">
        <f>SUMIF(89:89,G18,90:90)-SUMIF(89:89,C18,90:90)+100</f>
        <v>106</v>
      </c>
      <c r="I17" s="534" t="s">
        <v>3271</v>
      </c>
      <c r="J17" s="519">
        <f>SUMIF(89:89,I18,90:90)-SUMIF(89:89,C18,90:90)+100</f>
        <v>100</v>
      </c>
      <c r="K17" s="505">
        <v>3</v>
      </c>
      <c r="L17" s="1864"/>
      <c r="M17" s="1854"/>
      <c r="N17" s="1854"/>
      <c r="O17" s="1863"/>
      <c r="P17" s="3920" t="s">
        <v>489</v>
      </c>
      <c r="Q17" s="1384" t="str">
        <f t="shared" si="6"/>
        <v>居住社区成熟度</v>
      </c>
      <c r="R17" s="1385" t="s">
        <v>5</v>
      </c>
      <c r="S17" s="1386">
        <f t="shared" si="0"/>
        <v>100</v>
      </c>
      <c r="T17" s="1385" t="s">
        <v>5</v>
      </c>
      <c r="U17" s="1386">
        <f t="shared" si="1"/>
        <v>106</v>
      </c>
      <c r="V17" s="1385" t="s">
        <v>5</v>
      </c>
      <c r="W17" s="1386">
        <f t="shared" si="2"/>
        <v>100</v>
      </c>
      <c r="X17" s="1379"/>
      <c r="Y17" s="3920" t="s">
        <v>489</v>
      </c>
      <c r="Z17" s="1387" t="str">
        <f t="shared" si="7"/>
        <v>居住社区成熟度</v>
      </c>
      <c r="AA17" s="1388">
        <f t="shared" si="3"/>
        <v>1</v>
      </c>
      <c r="AB17" s="1388">
        <f t="shared" si="4"/>
        <v>0.94339622641509435</v>
      </c>
      <c r="AC17" s="1388">
        <f t="shared" si="5"/>
        <v>1</v>
      </c>
    </row>
    <row r="18" spans="1:29" ht="21" thickBot="1">
      <c r="A18" s="502"/>
      <c r="B18" s="523"/>
      <c r="C18" s="524" t="s">
        <v>3271</v>
      </c>
      <c r="D18" s="527"/>
      <c r="E18" s="539" t="s">
        <v>3271</v>
      </c>
      <c r="F18" s="525"/>
      <c r="G18" s="528" t="s">
        <v>3583</v>
      </c>
      <c r="H18" s="529"/>
      <c r="I18" s="539" t="s">
        <v>3271</v>
      </c>
      <c r="J18" s="525"/>
      <c r="K18" s="501"/>
      <c r="L18" s="1864"/>
      <c r="M18" s="1854"/>
      <c r="N18" s="1854"/>
      <c r="O18" s="1863"/>
      <c r="P18" s="3921"/>
      <c r="Q18" s="1384"/>
      <c r="R18" s="1385"/>
      <c r="S18" s="1386"/>
      <c r="T18" s="1385"/>
      <c r="U18" s="1386"/>
      <c r="V18" s="1385"/>
      <c r="W18" s="1386"/>
      <c r="X18" s="1379"/>
      <c r="Y18" s="3921"/>
      <c r="Z18" s="1387"/>
      <c r="AA18" s="1388">
        <v>1</v>
      </c>
      <c r="AB18" s="1388">
        <v>1</v>
      </c>
      <c r="AC18" s="1388">
        <v>1</v>
      </c>
    </row>
    <row r="19" spans="1:29" ht="20.25">
      <c r="A19" s="502"/>
      <c r="B19" s="530" t="s">
        <v>490</v>
      </c>
      <c r="C19" s="531" t="str">
        <f>估价对象房地状况!C16</f>
        <v>一般</v>
      </c>
      <c r="D19" s="533">
        <v>100</v>
      </c>
      <c r="E19" s="522" t="s">
        <v>3270</v>
      </c>
      <c r="F19" s="529">
        <f>SUMIF(91:91,E20,92:92)-SUMIF(91:91,C20,92:92)+100</f>
        <v>102</v>
      </c>
      <c r="G19" s="522" t="s">
        <v>3270</v>
      </c>
      <c r="H19" s="535">
        <f>SUMIF(91:91,G20,92:92)-SUMIF(91:91,C20,92:92)+100</f>
        <v>102</v>
      </c>
      <c r="I19" s="522" t="s">
        <v>3270</v>
      </c>
      <c r="J19" s="535">
        <f>SUMIF(91:91,I20,92:92)-SUMIF(91:91,C20,92:92)+100</f>
        <v>102</v>
      </c>
      <c r="K19" s="505">
        <v>2</v>
      </c>
      <c r="L19" s="1864"/>
      <c r="M19" s="1854"/>
      <c r="N19" s="1854"/>
      <c r="O19" s="1863"/>
      <c r="P19" s="3921"/>
      <c r="Q19" s="1384" t="str">
        <f>B19</f>
        <v>商业繁华度</v>
      </c>
      <c r="R19" s="1385" t="s">
        <v>5</v>
      </c>
      <c r="S19" s="1386">
        <f>F19</f>
        <v>102</v>
      </c>
      <c r="T19" s="1385" t="s">
        <v>5</v>
      </c>
      <c r="U19" s="1386">
        <f>H19</f>
        <v>102</v>
      </c>
      <c r="V19" s="1385" t="s">
        <v>5</v>
      </c>
      <c r="W19" s="1386">
        <f>J19</f>
        <v>102</v>
      </c>
      <c r="X19" s="1379"/>
      <c r="Y19" s="3921"/>
      <c r="Z19" s="1387" t="str">
        <f>Q19</f>
        <v>商业繁华度</v>
      </c>
      <c r="AA19" s="1388">
        <f t="shared" si="3"/>
        <v>0.98039215686274506</v>
      </c>
      <c r="AB19" s="1388">
        <f t="shared" si="4"/>
        <v>0.98039215686274506</v>
      </c>
      <c r="AC19" s="1388">
        <f t="shared" si="5"/>
        <v>0.98039215686274506</v>
      </c>
    </row>
    <row r="20" spans="1:29" ht="21" thickBot="1">
      <c r="A20" s="502"/>
      <c r="B20" s="536"/>
      <c r="C20" s="537" t="s">
        <v>3271</v>
      </c>
      <c r="D20" s="533"/>
      <c r="E20" s="528" t="s">
        <v>3270</v>
      </c>
      <c r="F20" s="529"/>
      <c r="G20" s="528" t="s">
        <v>3270</v>
      </c>
      <c r="H20" s="525"/>
      <c r="I20" s="528" t="s">
        <v>3270</v>
      </c>
      <c r="J20" s="525"/>
      <c r="K20" s="501"/>
      <c r="L20" s="1864"/>
      <c r="M20" s="1854"/>
      <c r="N20" s="1854"/>
      <c r="O20" s="1863"/>
      <c r="P20" s="3921"/>
      <c r="Q20" s="1384"/>
      <c r="R20" s="1385"/>
      <c r="S20" s="1386"/>
      <c r="T20" s="1385"/>
      <c r="U20" s="1386"/>
      <c r="V20" s="1385"/>
      <c r="W20" s="1386"/>
      <c r="X20" s="1379"/>
      <c r="Y20" s="3921"/>
      <c r="Z20" s="1387"/>
      <c r="AA20" s="1388">
        <v>1</v>
      </c>
      <c r="AB20" s="1388">
        <v>1</v>
      </c>
      <c r="AC20" s="1388">
        <v>1</v>
      </c>
    </row>
    <row r="21" spans="1:29" ht="20.25" hidden="1">
      <c r="A21" s="502"/>
      <c r="B21" s="530" t="s">
        <v>491</v>
      </c>
      <c r="C21" s="531">
        <f>估价对象房地状况!C17</f>
        <v>0</v>
      </c>
      <c r="D21" s="541">
        <v>100</v>
      </c>
      <c r="E21" s="542">
        <v>0</v>
      </c>
      <c r="F21" s="535">
        <f>SUMIF(93:93,E22,94:94)-SUMIF(93:93,C22,94:94)+100</f>
        <v>100</v>
      </c>
      <c r="G21" s="542">
        <v>0</v>
      </c>
      <c r="H21" s="529">
        <f>SUMIF(93:93,G22,94:94)-SUMIF(93:93,C22,94:94)+100</f>
        <v>100</v>
      </c>
      <c r="I21" s="542">
        <v>0</v>
      </c>
      <c r="J21" s="529">
        <f>SUMIF(93:93,I22,94:94)-SUMIF(93:93,C22,94:94)+100</f>
        <v>100</v>
      </c>
      <c r="K21" s="505"/>
      <c r="L21" s="1864"/>
      <c r="M21" s="1854"/>
      <c r="N21" s="1854"/>
      <c r="O21" s="1863"/>
      <c r="P21" s="3921"/>
      <c r="Q21" s="1384" t="str">
        <f>B21</f>
        <v>办公集聚程度</v>
      </c>
      <c r="R21" s="1385" t="s">
        <v>5</v>
      </c>
      <c r="S21" s="1386">
        <f>F21</f>
        <v>100</v>
      </c>
      <c r="T21" s="1385" t="s">
        <v>5</v>
      </c>
      <c r="U21" s="1386">
        <f>H21</f>
        <v>100</v>
      </c>
      <c r="V21" s="1385" t="s">
        <v>5</v>
      </c>
      <c r="W21" s="1386">
        <f>J21</f>
        <v>100</v>
      </c>
      <c r="X21" s="1379"/>
      <c r="Y21" s="3921"/>
      <c r="Z21" s="1387" t="str">
        <f>Q21</f>
        <v>办公集聚程度</v>
      </c>
      <c r="AA21" s="1388">
        <f t="shared" si="3"/>
        <v>1</v>
      </c>
      <c r="AB21" s="1388">
        <f t="shared" si="4"/>
        <v>1</v>
      </c>
      <c r="AC21" s="1388">
        <f t="shared" si="5"/>
        <v>1</v>
      </c>
    </row>
    <row r="22" spans="1:29" ht="21" hidden="1" thickBot="1">
      <c r="A22" s="502"/>
      <c r="B22" s="536"/>
      <c r="C22" s="524"/>
      <c r="D22" s="527"/>
      <c r="E22" s="528"/>
      <c r="F22" s="525"/>
      <c r="G22" s="528"/>
      <c r="H22" s="525"/>
      <c r="I22" s="528"/>
      <c r="J22" s="525"/>
      <c r="K22" s="501"/>
      <c r="L22" s="1864"/>
      <c r="M22" s="1854"/>
      <c r="N22" s="1854"/>
      <c r="O22" s="1863"/>
      <c r="P22" s="3921"/>
      <c r="Q22" s="1384"/>
      <c r="R22" s="1385"/>
      <c r="S22" s="1386"/>
      <c r="T22" s="1385"/>
      <c r="U22" s="1386"/>
      <c r="V22" s="1385"/>
      <c r="W22" s="1386"/>
      <c r="X22" s="1379"/>
      <c r="Y22" s="3921"/>
      <c r="Z22" s="1387"/>
      <c r="AA22" s="1388">
        <v>1</v>
      </c>
      <c r="AB22" s="1388">
        <v>1</v>
      </c>
      <c r="AC22" s="1388">
        <v>1</v>
      </c>
    </row>
    <row r="23" spans="1:29" ht="20.25">
      <c r="A23" s="502"/>
      <c r="B23" s="530" t="s">
        <v>492</v>
      </c>
      <c r="C23" s="543" t="str">
        <f>估价对象房地状况!C18</f>
        <v>一般</v>
      </c>
      <c r="D23" s="533">
        <v>100</v>
      </c>
      <c r="E23" s="522" t="s">
        <v>3271</v>
      </c>
      <c r="F23" s="535">
        <f>SUMIF(95:95,E24,96:96)-SUMIF(95:95,C24,96:96)+100</f>
        <v>100</v>
      </c>
      <c r="G23" s="522" t="s">
        <v>3270</v>
      </c>
      <c r="H23" s="529">
        <f>SUMIF(95:95,G24,96:96)-SUMIF(95:95,C24,96:96)+100</f>
        <v>102</v>
      </c>
      <c r="I23" s="522" t="s">
        <v>3271</v>
      </c>
      <c r="J23" s="529">
        <f>SUMIF(95:95,I24,96:96)-SUMIF(95:95,C24,96:96)+100</f>
        <v>100</v>
      </c>
      <c r="K23" s="505">
        <v>2</v>
      </c>
      <c r="L23" s="1864"/>
      <c r="M23" s="1854"/>
      <c r="N23" s="1854"/>
      <c r="O23" s="1863"/>
      <c r="P23" s="3921"/>
      <c r="Q23" s="1384" t="str">
        <f>B23</f>
        <v>交通便捷度</v>
      </c>
      <c r="R23" s="1385" t="s">
        <v>5</v>
      </c>
      <c r="S23" s="1386">
        <f>F23</f>
        <v>100</v>
      </c>
      <c r="T23" s="1385" t="s">
        <v>5</v>
      </c>
      <c r="U23" s="1386">
        <f>H23</f>
        <v>102</v>
      </c>
      <c r="V23" s="1385" t="s">
        <v>5</v>
      </c>
      <c r="W23" s="1386">
        <f>J23</f>
        <v>100</v>
      </c>
      <c r="X23" s="1379"/>
      <c r="Y23" s="3921"/>
      <c r="Z23" s="1387" t="str">
        <f>Q23</f>
        <v>交通便捷度</v>
      </c>
      <c r="AA23" s="1388">
        <f t="shared" si="3"/>
        <v>1</v>
      </c>
      <c r="AB23" s="1388">
        <f t="shared" si="4"/>
        <v>0.98039215686274506</v>
      </c>
      <c r="AC23" s="1388">
        <f t="shared" si="5"/>
        <v>1</v>
      </c>
    </row>
    <row r="24" spans="1:29" ht="20.25">
      <c r="A24" s="502"/>
      <c r="B24" s="548"/>
      <c r="C24" s="524" t="s">
        <v>3271</v>
      </c>
      <c r="D24" s="527"/>
      <c r="E24" s="528" t="s">
        <v>3271</v>
      </c>
      <c r="F24" s="525"/>
      <c r="G24" s="528" t="s">
        <v>3270</v>
      </c>
      <c r="H24" s="525"/>
      <c r="I24" s="528" t="s">
        <v>3271</v>
      </c>
      <c r="J24" s="525"/>
      <c r="K24" s="501"/>
      <c r="L24" s="1864"/>
      <c r="M24" s="1854"/>
      <c r="N24" s="1854"/>
      <c r="O24" s="1863"/>
      <c r="P24" s="3921"/>
      <c r="Q24" s="1384"/>
      <c r="R24" s="1385"/>
      <c r="S24" s="1386"/>
      <c r="T24" s="1385"/>
      <c r="U24" s="1386"/>
      <c r="V24" s="1385"/>
      <c r="W24" s="1386"/>
      <c r="X24" s="1379"/>
      <c r="Y24" s="3921"/>
      <c r="Z24" s="1387"/>
      <c r="AA24" s="1388">
        <v>1</v>
      </c>
      <c r="AB24" s="1388">
        <v>1</v>
      </c>
      <c r="AC24" s="1388">
        <v>1</v>
      </c>
    </row>
    <row r="25" spans="1:29" ht="27">
      <c r="A25" s="485"/>
      <c r="B25" s="250" t="s">
        <v>493</v>
      </c>
      <c r="C25" s="543">
        <f>估价对象房地状况!C19</f>
        <v>0</v>
      </c>
      <c r="D25" s="533">
        <v>100</v>
      </c>
      <c r="E25" s="534">
        <v>0</v>
      </c>
      <c r="F25" s="535">
        <f>SUMIF(97:97,E26,98:98)-SUMIF(97:97,C26,98:98)+100</f>
        <v>98</v>
      </c>
      <c r="G25" s="534">
        <v>0</v>
      </c>
      <c r="H25" s="529">
        <f>SUMIF(97:97,G26,98:98)-SUMIF(97:97,C26,98:98)+100</f>
        <v>100</v>
      </c>
      <c r="I25" s="534">
        <v>0</v>
      </c>
      <c r="J25" s="529">
        <f>SUMIF(97:97,I26,98:98)-SUMIF(97:97,C26,98:98)+100</f>
        <v>98</v>
      </c>
      <c r="K25" s="505">
        <v>2</v>
      </c>
      <c r="L25" s="1864"/>
      <c r="M25" s="1854"/>
      <c r="N25" s="1854"/>
      <c r="O25" s="1863"/>
      <c r="P25" s="3921"/>
      <c r="Q25" s="1384" t="str">
        <f t="shared" ref="Q25:Q39" si="8">B25</f>
        <v>区域土地利用方向</v>
      </c>
      <c r="R25" s="1385" t="s">
        <v>5</v>
      </c>
      <c r="S25" s="1386">
        <f>F25</f>
        <v>98</v>
      </c>
      <c r="T25" s="1385" t="s">
        <v>5</v>
      </c>
      <c r="U25" s="1386">
        <f>H25</f>
        <v>100</v>
      </c>
      <c r="V25" s="1385" t="s">
        <v>5</v>
      </c>
      <c r="W25" s="1386">
        <f>J25</f>
        <v>98</v>
      </c>
      <c r="X25" s="1379"/>
      <c r="Y25" s="3921"/>
      <c r="Z25" s="1387" t="str">
        <f>Q25</f>
        <v>区域土地利用方向</v>
      </c>
      <c r="AA25" s="1388">
        <f t="shared" si="3"/>
        <v>1.0204081632653061</v>
      </c>
      <c r="AB25" s="1388">
        <f t="shared" si="4"/>
        <v>1</v>
      </c>
      <c r="AC25" s="1388">
        <f t="shared" si="5"/>
        <v>1.0204081632653061</v>
      </c>
    </row>
    <row r="26" spans="1:29" ht="21" thickBot="1">
      <c r="A26" s="485"/>
      <c r="B26" s="967"/>
      <c r="C26" s="524" t="s">
        <v>3270</v>
      </c>
      <c r="D26" s="527"/>
      <c r="E26" s="528" t="s">
        <v>3271</v>
      </c>
      <c r="F26" s="525"/>
      <c r="G26" s="528" t="s">
        <v>3270</v>
      </c>
      <c r="H26" s="525"/>
      <c r="I26" s="528" t="s">
        <v>3271</v>
      </c>
      <c r="J26" s="525"/>
      <c r="K26" s="501"/>
      <c r="L26" s="1864"/>
      <c r="M26" s="1854"/>
      <c r="N26" s="1854"/>
      <c r="O26" s="1863"/>
      <c r="P26" s="3921"/>
      <c r="Q26" s="1384"/>
      <c r="R26" s="1385"/>
      <c r="S26" s="1386"/>
      <c r="T26" s="1385"/>
      <c r="U26" s="1386"/>
      <c r="V26" s="1385"/>
      <c r="W26" s="1386"/>
      <c r="X26" s="1379"/>
      <c r="Y26" s="3921"/>
      <c r="Z26" s="1387"/>
      <c r="AA26" s="1388"/>
      <c r="AB26" s="1388"/>
      <c r="AC26" s="1388"/>
    </row>
    <row r="27" spans="1:29" ht="27">
      <c r="A27" s="485"/>
      <c r="B27" s="548" t="s">
        <v>494</v>
      </c>
      <c r="C27" s="531" t="str">
        <f>估价对象房地状况!C20</f>
        <v>一般</v>
      </c>
      <c r="D27" s="533">
        <v>100</v>
      </c>
      <c r="E27" s="522" t="s">
        <v>3271</v>
      </c>
      <c r="F27" s="529">
        <f>SUMIF(99:99,E28,100:100)-SUMIF(99:99,C28,100:100)+100</f>
        <v>100</v>
      </c>
      <c r="G27" s="522" t="s">
        <v>3271</v>
      </c>
      <c r="H27" s="529">
        <f>SUMIF(99:99,G28,100:100)-SUMIF(99:99,C28,100:100)+100</f>
        <v>100</v>
      </c>
      <c r="I27" s="522" t="s">
        <v>3271</v>
      </c>
      <c r="J27" s="529">
        <f>SUMIF(99:99,I28,100:100)-SUMIF(99:99,C28,100:100)+100</f>
        <v>100</v>
      </c>
      <c r="K27" s="505">
        <v>3</v>
      </c>
      <c r="L27" s="1864"/>
      <c r="M27" s="1854"/>
      <c r="N27" s="1854"/>
      <c r="O27" s="1863"/>
      <c r="P27" s="3921"/>
      <c r="Q27" s="1384" t="str">
        <f t="shared" si="8"/>
        <v>自然及人文环境状况</v>
      </c>
      <c r="R27" s="1385" t="s">
        <v>5</v>
      </c>
      <c r="S27" s="1386">
        <f>F27</f>
        <v>100</v>
      </c>
      <c r="T27" s="1385" t="s">
        <v>5</v>
      </c>
      <c r="U27" s="1386">
        <f>H27</f>
        <v>100</v>
      </c>
      <c r="V27" s="1385" t="s">
        <v>5</v>
      </c>
      <c r="W27" s="1386">
        <f>J27</f>
        <v>100</v>
      </c>
      <c r="X27" s="1379"/>
      <c r="Y27" s="3921"/>
      <c r="Z27" s="1387" t="str">
        <f>Q27</f>
        <v>自然及人文环境状况</v>
      </c>
      <c r="AA27" s="1388">
        <f t="shared" si="3"/>
        <v>1</v>
      </c>
      <c r="AB27" s="1388">
        <f t="shared" si="4"/>
        <v>1</v>
      </c>
      <c r="AC27" s="1388">
        <f t="shared" si="5"/>
        <v>1</v>
      </c>
    </row>
    <row r="28" spans="1:29" ht="21" thickBot="1">
      <c r="A28" s="485"/>
      <c r="B28" s="536"/>
      <c r="C28" s="524" t="s">
        <v>3271</v>
      </c>
      <c r="D28" s="527"/>
      <c r="E28" s="528" t="s">
        <v>3271</v>
      </c>
      <c r="F28" s="525"/>
      <c r="G28" s="528" t="s">
        <v>3271</v>
      </c>
      <c r="H28" s="525"/>
      <c r="I28" s="528" t="s">
        <v>3271</v>
      </c>
      <c r="J28" s="525"/>
      <c r="K28" s="501"/>
      <c r="L28" s="1864"/>
      <c r="M28" s="1854"/>
      <c r="N28" s="1854"/>
      <c r="O28" s="1863"/>
      <c r="P28" s="3921"/>
      <c r="Q28" s="1384"/>
      <c r="R28" s="1385"/>
      <c r="S28" s="1386"/>
      <c r="T28" s="1385"/>
      <c r="U28" s="1386"/>
      <c r="V28" s="1385"/>
      <c r="W28" s="1386"/>
      <c r="X28" s="1379"/>
      <c r="Y28" s="3921"/>
      <c r="Z28" s="1387"/>
      <c r="AA28" s="1388">
        <v>1</v>
      </c>
      <c r="AB28" s="1388">
        <v>1</v>
      </c>
      <c r="AC28" s="1388">
        <v>1</v>
      </c>
    </row>
    <row r="29" spans="1:29" s="1117" customFormat="1" ht="20.25">
      <c r="A29" s="547"/>
      <c r="B29" s="2198" t="s">
        <v>1828</v>
      </c>
      <c r="C29" s="543" t="str">
        <f>估价对象房地状况!C21</f>
        <v>一般</v>
      </c>
      <c r="D29" s="533">
        <v>100</v>
      </c>
      <c r="E29" s="522" t="s">
        <v>3271</v>
      </c>
      <c r="F29" s="529">
        <f>SUMIF(101:101,E30,102:102)-SUMIF(101:101,C30,102:102)+100</f>
        <v>100</v>
      </c>
      <c r="G29" s="522" t="s">
        <v>3270</v>
      </c>
      <c r="H29" s="529">
        <f>SUMIF(101:101,G30,102:102)-SUMIF(101:101,C30,102:102)+100</f>
        <v>102</v>
      </c>
      <c r="I29" s="522" t="s">
        <v>3271</v>
      </c>
      <c r="J29" s="529">
        <f>SUMIF(101:101,I30,102:102)-SUMIF(101:101,C30,102:102)+100</f>
        <v>100</v>
      </c>
      <c r="K29" s="505">
        <v>2</v>
      </c>
      <c r="L29" s="1857"/>
      <c r="M29" s="1854"/>
      <c r="N29" s="1854"/>
      <c r="O29" s="1859"/>
      <c r="P29" s="3921"/>
      <c r="Q29" s="1049" t="str">
        <f t="shared" si="8"/>
        <v>公共配套设施</v>
      </c>
      <c r="R29" s="1380" t="s">
        <v>5</v>
      </c>
      <c r="S29" s="1381">
        <f>F29</f>
        <v>100</v>
      </c>
      <c r="T29" s="1380" t="s">
        <v>5</v>
      </c>
      <c r="U29" s="1381">
        <f>H29</f>
        <v>102</v>
      </c>
      <c r="V29" s="1380" t="s">
        <v>5</v>
      </c>
      <c r="W29" s="1381">
        <f>J29</f>
        <v>100</v>
      </c>
      <c r="X29" s="1382"/>
      <c r="Y29" s="3921"/>
      <c r="Z29" s="1048" t="str">
        <f>Q29</f>
        <v>公共配套设施</v>
      </c>
      <c r="AA29" s="1388">
        <f>D29/F29</f>
        <v>1</v>
      </c>
      <c r="AB29" s="1388">
        <f>D29/H29</f>
        <v>0.98039215686274506</v>
      </c>
      <c r="AC29" s="1388">
        <f>D29/J29</f>
        <v>1</v>
      </c>
    </row>
    <row r="30" spans="1:29" s="1117" customFormat="1" ht="20.25">
      <c r="A30" s="547"/>
      <c r="B30" s="536"/>
      <c r="C30" s="549" t="s">
        <v>3271</v>
      </c>
      <c r="D30" s="527"/>
      <c r="E30" s="528" t="s">
        <v>3271</v>
      </c>
      <c r="F30" s="525"/>
      <c r="G30" s="528" t="s">
        <v>3270</v>
      </c>
      <c r="H30" s="525"/>
      <c r="I30" s="528" t="s">
        <v>3271</v>
      </c>
      <c r="J30" s="525"/>
      <c r="K30" s="501"/>
      <c r="L30" s="1857"/>
      <c r="M30" s="1854"/>
      <c r="N30" s="1854"/>
      <c r="O30" s="1859"/>
      <c r="P30" s="3921"/>
      <c r="Q30" s="1049"/>
      <c r="R30" s="1380"/>
      <c r="S30" s="1381"/>
      <c r="T30" s="1380"/>
      <c r="U30" s="1381"/>
      <c r="V30" s="1380"/>
      <c r="W30" s="1381"/>
      <c r="X30" s="1382"/>
      <c r="Y30" s="3921"/>
      <c r="Z30" s="1048"/>
      <c r="AA30" s="1388">
        <v>1</v>
      </c>
      <c r="AB30" s="1388">
        <v>1</v>
      </c>
      <c r="AC30" s="1388">
        <v>1</v>
      </c>
    </row>
    <row r="31" spans="1:29" s="1117" customFormat="1" ht="20.25">
      <c r="A31" s="547"/>
      <c r="B31" s="2198" t="s">
        <v>1829</v>
      </c>
      <c r="C31" s="543" t="str">
        <f>估价对象房地状况!C22</f>
        <v>六通</v>
      </c>
      <c r="D31" s="533">
        <v>100</v>
      </c>
      <c r="E31" s="534" t="s">
        <v>3272</v>
      </c>
      <c r="F31" s="529">
        <f>SUMIF(103:103,E32,104:104)-SUMIF(103:103,C32,104:104)+100</f>
        <v>100</v>
      </c>
      <c r="G31" s="534" t="s">
        <v>3272</v>
      </c>
      <c r="H31" s="529">
        <f>SUMIF(103:103,G32,104:104)-SUMIF(103:103,C32,104:104)+100</f>
        <v>100</v>
      </c>
      <c r="I31" s="534" t="s">
        <v>3272</v>
      </c>
      <c r="J31" s="529">
        <f>SUMIF(103:103,I32,104:104)-SUMIF(103:103,C32,104:104)+100</f>
        <v>100</v>
      </c>
      <c r="K31" s="505">
        <v>1</v>
      </c>
      <c r="L31" s="1857"/>
      <c r="M31" s="1854"/>
      <c r="N31" s="1854"/>
      <c r="O31" s="1859"/>
      <c r="P31" s="3921"/>
      <c r="Q31" s="2191" t="str">
        <f>B31</f>
        <v>基础设施水平</v>
      </c>
      <c r="R31" s="1380" t="s">
        <v>5</v>
      </c>
      <c r="S31" s="1381">
        <f>F31</f>
        <v>100</v>
      </c>
      <c r="T31" s="1380" t="s">
        <v>5</v>
      </c>
      <c r="U31" s="1381">
        <f>H31</f>
        <v>100</v>
      </c>
      <c r="V31" s="1380" t="s">
        <v>5</v>
      </c>
      <c r="W31" s="1381">
        <f>J31</f>
        <v>100</v>
      </c>
      <c r="X31" s="1382"/>
      <c r="Y31" s="3921"/>
      <c r="Z31" s="2190" t="str">
        <f>Q31</f>
        <v>基础设施水平</v>
      </c>
      <c r="AA31" s="1388">
        <f>D31/F31</f>
        <v>1</v>
      </c>
      <c r="AB31" s="1388">
        <f>D31/H31</f>
        <v>1</v>
      </c>
      <c r="AC31" s="1388">
        <f>D31/J31</f>
        <v>1</v>
      </c>
    </row>
    <row r="32" spans="1:29" s="1117" customFormat="1" ht="21" thickBot="1">
      <c r="A32" s="547"/>
      <c r="B32" s="536"/>
      <c r="C32" s="549" t="s">
        <v>3272</v>
      </c>
      <c r="D32" s="527"/>
      <c r="E32" s="2199" t="s">
        <v>3272</v>
      </c>
      <c r="F32" s="525"/>
      <c r="G32" s="2199" t="s">
        <v>3272</v>
      </c>
      <c r="H32" s="525"/>
      <c r="I32" s="2199" t="s">
        <v>3272</v>
      </c>
      <c r="J32" s="525"/>
      <c r="K32" s="501"/>
      <c r="L32" s="1857"/>
      <c r="M32" s="1854"/>
      <c r="N32" s="1854"/>
      <c r="O32" s="1859"/>
      <c r="P32" s="3921"/>
      <c r="Q32" s="2191"/>
      <c r="R32" s="1380"/>
      <c r="S32" s="1381"/>
      <c r="T32" s="1380"/>
      <c r="U32" s="1381"/>
      <c r="V32" s="1380"/>
      <c r="W32" s="1381"/>
      <c r="X32" s="1382"/>
      <c r="Y32" s="3921"/>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21"/>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21"/>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21"/>
      <c r="Q34" s="1384" t="str">
        <f t="shared" si="8"/>
        <v>毗邻道路的类型与等级</v>
      </c>
      <c r="R34" s="1385" t="s">
        <v>5</v>
      </c>
      <c r="S34" s="1386">
        <f t="shared" si="9"/>
        <v>100</v>
      </c>
      <c r="T34" s="1385" t="s">
        <v>5</v>
      </c>
      <c r="U34" s="1386">
        <f t="shared" si="10"/>
        <v>100</v>
      </c>
      <c r="V34" s="1385" t="s">
        <v>5</v>
      </c>
      <c r="W34" s="1386">
        <f t="shared" si="11"/>
        <v>100</v>
      </c>
      <c r="X34" s="1379"/>
      <c r="Y34" s="3921"/>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4"/>
      <c r="M35" s="1854"/>
      <c r="N35" s="1854"/>
      <c r="O35" s="1863"/>
      <c r="P35" s="3921"/>
      <c r="Q35" s="1384"/>
      <c r="R35" s="1385"/>
      <c r="S35" s="1386"/>
      <c r="T35" s="1385"/>
      <c r="U35" s="1386"/>
      <c r="V35" s="1385"/>
      <c r="W35" s="1386"/>
      <c r="X35" s="1379"/>
      <c r="Y35" s="3921"/>
      <c r="Z35" s="1387"/>
      <c r="AA35" s="1388">
        <v>1</v>
      </c>
      <c r="AB35" s="1388">
        <v>1</v>
      </c>
      <c r="AC35" s="1388">
        <v>1</v>
      </c>
    </row>
    <row r="36" spans="1:29" ht="21" hidden="1" thickBot="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21"/>
      <c r="Q36" s="1384" t="str">
        <f t="shared" si="8"/>
        <v>土地级别</v>
      </c>
      <c r="R36" s="1385" t="s">
        <v>5</v>
      </c>
      <c r="S36" s="1386">
        <f t="shared" si="9"/>
        <v>100</v>
      </c>
      <c r="T36" s="1385" t="s">
        <v>5</v>
      </c>
      <c r="U36" s="1386">
        <f t="shared" si="10"/>
        <v>100</v>
      </c>
      <c r="V36" s="1385" t="s">
        <v>5</v>
      </c>
      <c r="W36" s="1386">
        <f t="shared" si="11"/>
        <v>100</v>
      </c>
      <c r="X36" s="1379"/>
      <c r="Y36" s="3921"/>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21"/>
      <c r="Q37" s="1384">
        <f t="shared" si="8"/>
        <v>111</v>
      </c>
      <c r="R37" s="1385" t="s">
        <v>5</v>
      </c>
      <c r="S37" s="1386">
        <f t="shared" si="9"/>
        <v>100</v>
      </c>
      <c r="T37" s="1385" t="s">
        <v>5</v>
      </c>
      <c r="U37" s="1386">
        <f t="shared" si="10"/>
        <v>100</v>
      </c>
      <c r="V37" s="1385" t="s">
        <v>5</v>
      </c>
      <c r="W37" s="1386">
        <f t="shared" si="11"/>
        <v>100</v>
      </c>
      <c r="X37" s="1379"/>
      <c r="Y37" s="3921"/>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22" t="s">
        <v>499</v>
      </c>
      <c r="Q38" s="1384">
        <f t="shared" si="8"/>
        <v>111</v>
      </c>
      <c r="R38" s="1385" t="s">
        <v>5</v>
      </c>
      <c r="S38" s="1386">
        <f t="shared" si="9"/>
        <v>100</v>
      </c>
      <c r="T38" s="1385" t="s">
        <v>5</v>
      </c>
      <c r="U38" s="1386">
        <f t="shared" si="10"/>
        <v>100</v>
      </c>
      <c r="V38" s="1385" t="s">
        <v>5</v>
      </c>
      <c r="W38" s="1386">
        <f t="shared" si="11"/>
        <v>100</v>
      </c>
      <c r="X38" s="1379"/>
      <c r="Y38" s="3923" t="s">
        <v>499</v>
      </c>
      <c r="Z38" s="1387">
        <f t="shared" si="12"/>
        <v>111</v>
      </c>
      <c r="AA38" s="1388">
        <f t="shared" si="3"/>
        <v>1</v>
      </c>
      <c r="AB38" s="1388">
        <f t="shared" si="4"/>
        <v>1</v>
      </c>
      <c r="AC38" s="1388">
        <f t="shared" si="5"/>
        <v>1</v>
      </c>
    </row>
    <row r="39" spans="1:29" s="1199"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23"/>
      <c r="Q39" s="1384">
        <f t="shared" si="8"/>
        <v>111</v>
      </c>
      <c r="R39" s="1389" t="s">
        <v>5</v>
      </c>
      <c r="S39" s="1390">
        <f t="shared" si="9"/>
        <v>100</v>
      </c>
      <c r="T39" s="1389" t="s">
        <v>5</v>
      </c>
      <c r="U39" s="1390">
        <f t="shared" si="10"/>
        <v>100</v>
      </c>
      <c r="V39" s="1389" t="s">
        <v>5</v>
      </c>
      <c r="W39" s="1390">
        <f t="shared" si="11"/>
        <v>100</v>
      </c>
      <c r="X39" s="1391"/>
      <c r="Y39" s="3923"/>
      <c r="Z39" s="1392">
        <f t="shared" si="12"/>
        <v>111</v>
      </c>
      <c r="AA39" s="1388">
        <f t="shared" si="3"/>
        <v>1</v>
      </c>
      <c r="AB39" s="1388">
        <f t="shared" si="4"/>
        <v>1</v>
      </c>
      <c r="AC39" s="1388">
        <f t="shared" si="5"/>
        <v>1</v>
      </c>
    </row>
    <row r="40" spans="1:29" ht="20.25">
      <c r="A40" s="2386" t="s">
        <v>2034</v>
      </c>
      <c r="B40" s="565" t="s">
        <v>501</v>
      </c>
      <c r="C40" s="566">
        <f>'数据-汇总表'!D3</f>
        <v>39137.980000000003</v>
      </c>
      <c r="D40" s="567">
        <v>100</v>
      </c>
      <c r="E40" s="566">
        <f>'案例-土地'!G2</f>
        <v>107833.14</v>
      </c>
      <c r="F40" s="567">
        <f>LOOKUP(E40,118:118,119:119)-LOOKUP(C40,118:118,119:119)+100</f>
        <v>104</v>
      </c>
      <c r="G40" s="566">
        <f>'案例-土地'!G3</f>
        <v>26097.06</v>
      </c>
      <c r="H40" s="567">
        <f>LOOKUP(G40,118:118,119:119)-LOOKUP(C40,118:118,119:119)+100</f>
        <v>100</v>
      </c>
      <c r="I40" s="568">
        <f>'案例-土地'!G7</f>
        <v>133418</v>
      </c>
      <c r="J40" s="567">
        <f>LOOKUP(I40,118:118,119:119)-LOOKUP(C40,118:118,119:119)+100</f>
        <v>104</v>
      </c>
      <c r="K40" s="551"/>
      <c r="L40" s="1864"/>
      <c r="M40" s="1854"/>
      <c r="N40" s="1854"/>
      <c r="O40" s="1863"/>
      <c r="P40" s="3923"/>
      <c r="Q40" s="1384" t="str">
        <f>B40</f>
        <v>宗地面积</v>
      </c>
      <c r="R40" s="1385" t="s">
        <v>5</v>
      </c>
      <c r="S40" s="1386">
        <f t="shared" si="9"/>
        <v>104</v>
      </c>
      <c r="T40" s="1385" t="s">
        <v>5</v>
      </c>
      <c r="U40" s="1386">
        <f t="shared" si="10"/>
        <v>100</v>
      </c>
      <c r="V40" s="1385" t="s">
        <v>5</v>
      </c>
      <c r="W40" s="1386">
        <f t="shared" si="11"/>
        <v>104</v>
      </c>
      <c r="X40" s="1379"/>
      <c r="Y40" s="3923"/>
      <c r="Z40" s="1387" t="str">
        <f t="shared" si="12"/>
        <v>宗地面积</v>
      </c>
      <c r="AA40" s="1388">
        <f t="shared" si="3"/>
        <v>0.96153846153846156</v>
      </c>
      <c r="AB40" s="1388">
        <f t="shared" si="4"/>
        <v>1</v>
      </c>
      <c r="AC40" s="1388">
        <f t="shared" si="5"/>
        <v>0.96153846153846156</v>
      </c>
    </row>
    <row r="41" spans="1:29" ht="20.25">
      <c r="A41" s="564"/>
      <c r="B41" s="497" t="s">
        <v>502</v>
      </c>
      <c r="C41" s="569" t="s">
        <v>3477</v>
      </c>
      <c r="D41" s="510">
        <v>100</v>
      </c>
      <c r="E41" s="569" t="s">
        <v>3271</v>
      </c>
      <c r="F41" s="510">
        <f>SUMIF(120:120,E41,121:121)-SUMIF(120:120,C41,121:121)+100</f>
        <v>98</v>
      </c>
      <c r="G41" s="569" t="s">
        <v>3477</v>
      </c>
      <c r="H41" s="510">
        <f>SUMIF(120:120,G41,121:121)-SUMIF(120:120,C41,121:121)+100</f>
        <v>100</v>
      </c>
      <c r="I41" s="569" t="s">
        <v>3477</v>
      </c>
      <c r="J41" s="510">
        <f>SUMIF(120:120,I41,121:121)-SUMIF(120:120,C41,121:121)+100</f>
        <v>100</v>
      </c>
      <c r="K41" s="554">
        <v>2</v>
      </c>
      <c r="L41" s="1864"/>
      <c r="M41" s="1854"/>
      <c r="N41" s="1854"/>
      <c r="O41" s="1863"/>
      <c r="P41" s="3923"/>
      <c r="Q41" s="1384" t="str">
        <f t="shared" ref="Q41:Q47" si="13">B41</f>
        <v>宗地形状</v>
      </c>
      <c r="R41" s="1385" t="s">
        <v>5</v>
      </c>
      <c r="S41" s="1386">
        <f t="shared" si="9"/>
        <v>98</v>
      </c>
      <c r="T41" s="1385" t="s">
        <v>5</v>
      </c>
      <c r="U41" s="1386">
        <f t="shared" si="10"/>
        <v>100</v>
      </c>
      <c r="V41" s="1385" t="s">
        <v>5</v>
      </c>
      <c r="W41" s="1386">
        <f t="shared" si="11"/>
        <v>100</v>
      </c>
      <c r="X41" s="1379"/>
      <c r="Y41" s="3923"/>
      <c r="Z41" s="1387" t="str">
        <f t="shared" si="12"/>
        <v>宗地形状</v>
      </c>
      <c r="AA41" s="1388">
        <f t="shared" si="3"/>
        <v>1.0204081632653061</v>
      </c>
      <c r="AB41" s="1388">
        <f t="shared" si="4"/>
        <v>1</v>
      </c>
      <c r="AC41" s="1388">
        <f t="shared" si="5"/>
        <v>1</v>
      </c>
    </row>
    <row r="42" spans="1:29" ht="20.25" hidden="1">
      <c r="A42" s="564"/>
      <c r="B42" s="497" t="s">
        <v>503</v>
      </c>
      <c r="C42" s="571"/>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23"/>
      <c r="Q42" s="1384" t="str">
        <f t="shared" si="13"/>
        <v>临街宽度及深度</v>
      </c>
      <c r="R42" s="1385" t="s">
        <v>5</v>
      </c>
      <c r="S42" s="1386">
        <f t="shared" si="9"/>
        <v>100</v>
      </c>
      <c r="T42" s="1385" t="s">
        <v>5</v>
      </c>
      <c r="U42" s="1386">
        <f t="shared" si="10"/>
        <v>100</v>
      </c>
      <c r="V42" s="1385" t="s">
        <v>5</v>
      </c>
      <c r="W42" s="1386">
        <f t="shared" si="11"/>
        <v>100</v>
      </c>
      <c r="X42" s="1379"/>
      <c r="Y42" s="3923"/>
      <c r="Z42" s="1387" t="str">
        <f t="shared" si="12"/>
        <v>临街宽度及深度</v>
      </c>
      <c r="AA42" s="1388">
        <f t="shared" si="3"/>
        <v>1</v>
      </c>
      <c r="AB42" s="1388">
        <f t="shared" si="4"/>
        <v>1</v>
      </c>
      <c r="AC42" s="1388">
        <f t="shared" si="5"/>
        <v>1</v>
      </c>
    </row>
    <row r="43" spans="1:29" s="1117" customFormat="1" ht="20.25">
      <c r="A43" s="570"/>
      <c r="B43" s="1650" t="s">
        <v>1773</v>
      </c>
      <c r="C43" s="571" t="s">
        <v>3272</v>
      </c>
      <c r="D43" s="246">
        <v>100</v>
      </c>
      <c r="E43" s="571" t="s">
        <v>3478</v>
      </c>
      <c r="F43" s="510">
        <f>SUMIF(124:124,E43,125:125)-SUMIF(124:124,C43,125:125)+100</f>
        <v>97</v>
      </c>
      <c r="G43" s="571" t="s">
        <v>3478</v>
      </c>
      <c r="H43" s="510">
        <f>SUMIF(124:124,G43,125:125)-SUMIF(124:124,C43,125:125)+100</f>
        <v>97</v>
      </c>
      <c r="I43" s="571" t="s">
        <v>3478</v>
      </c>
      <c r="J43" s="510">
        <f>SUMIF(124:124,I43,125:125)-SUMIF(124:124,C43,125:125)+100</f>
        <v>97</v>
      </c>
      <c r="K43" s="554">
        <v>1</v>
      </c>
      <c r="L43" s="1857"/>
      <c r="M43" s="1854"/>
      <c r="N43" s="1854"/>
      <c r="O43" s="1859"/>
      <c r="P43" s="3923"/>
      <c r="Q43" s="1384" t="str">
        <f t="shared" si="13"/>
        <v>宗地开发程度</v>
      </c>
      <c r="R43" s="1380" t="s">
        <v>5</v>
      </c>
      <c r="S43" s="1381">
        <f t="shared" si="9"/>
        <v>97</v>
      </c>
      <c r="T43" s="1380" t="s">
        <v>5</v>
      </c>
      <c r="U43" s="1381">
        <f t="shared" si="10"/>
        <v>97</v>
      </c>
      <c r="V43" s="1380" t="s">
        <v>5</v>
      </c>
      <c r="W43" s="1381">
        <f t="shared" si="11"/>
        <v>97</v>
      </c>
      <c r="X43" s="1382"/>
      <c r="Y43" s="3923"/>
      <c r="Z43" s="1048" t="str">
        <f t="shared" si="12"/>
        <v>宗地开发程度</v>
      </c>
      <c r="AA43" s="1383">
        <f t="shared" si="3"/>
        <v>1.0309278350515463</v>
      </c>
      <c r="AB43" s="1383">
        <f t="shared" si="4"/>
        <v>1.0309278350515463</v>
      </c>
      <c r="AC43" s="1383">
        <f t="shared" si="5"/>
        <v>1.0309278350515463</v>
      </c>
    </row>
    <row r="44" spans="1:29" ht="20.25">
      <c r="A44" s="564"/>
      <c r="B44" s="497" t="s">
        <v>504</v>
      </c>
      <c r="C44" s="569" t="s">
        <v>3270</v>
      </c>
      <c r="D44" s="510">
        <v>100</v>
      </c>
      <c r="E44" s="569" t="s">
        <v>3270</v>
      </c>
      <c r="F44" s="510">
        <f>SUMIF(126:126,E44,127:127)-SUMIF(126:126,C44,127:127)+100</f>
        <v>100</v>
      </c>
      <c r="G44" s="569" t="s">
        <v>3270</v>
      </c>
      <c r="H44" s="510">
        <f>SUMIF(126:126,G44,127:127)-SUMIF(126:126,C44,127:127)+100</f>
        <v>100</v>
      </c>
      <c r="I44" s="569" t="s">
        <v>3270</v>
      </c>
      <c r="J44" s="510">
        <f>SUMIF(126:126,I44,127:127)-SUMIF(126:126,C44,127:127)+100</f>
        <v>100</v>
      </c>
      <c r="K44" s="554">
        <v>2</v>
      </c>
      <c r="L44" s="1864"/>
      <c r="M44" s="1854"/>
      <c r="N44" s="1854"/>
      <c r="O44" s="1863"/>
      <c r="P44" s="3923" t="s">
        <v>499</v>
      </c>
      <c r="Q44" s="1384" t="str">
        <f t="shared" si="13"/>
        <v>工程地质条件</v>
      </c>
      <c r="R44" s="1385" t="s">
        <v>5</v>
      </c>
      <c r="S44" s="1386">
        <f t="shared" si="9"/>
        <v>100</v>
      </c>
      <c r="T44" s="1385" t="s">
        <v>5</v>
      </c>
      <c r="U44" s="1386">
        <f t="shared" si="10"/>
        <v>100</v>
      </c>
      <c r="V44" s="1385" t="s">
        <v>5</v>
      </c>
      <c r="W44" s="1386">
        <f t="shared" si="11"/>
        <v>100</v>
      </c>
      <c r="X44" s="1379"/>
      <c r="Y44" s="3923" t="s">
        <v>499</v>
      </c>
      <c r="Z44" s="1387" t="str">
        <f t="shared" si="12"/>
        <v>工程地质条件</v>
      </c>
      <c r="AA44" s="1388">
        <f t="shared" si="3"/>
        <v>1</v>
      </c>
      <c r="AB44" s="1388">
        <f t="shared" si="4"/>
        <v>1</v>
      </c>
      <c r="AC44" s="1388">
        <f t="shared" si="5"/>
        <v>1</v>
      </c>
    </row>
    <row r="45" spans="1:29" ht="21" thickBot="1">
      <c r="A45" s="564"/>
      <c r="B45" s="3686" t="s">
        <v>3591</v>
      </c>
      <c r="C45" s="3687" t="str">
        <f>E128</f>
        <v>大于2</v>
      </c>
      <c r="D45" s="510">
        <v>100</v>
      </c>
      <c r="E45" s="4050" t="str">
        <f>D128</f>
        <v>1-2</v>
      </c>
      <c r="F45" s="510">
        <f>SUMIF(128:128,E45,129:129)-SUMIF(128:128,C45,129:129)+100</f>
        <v>110</v>
      </c>
      <c r="G45" s="3687" t="str">
        <f>C128</f>
        <v>0-1</v>
      </c>
      <c r="H45" s="510">
        <f>SUMIF(128:128,G45,129:129)-SUMIF(128:128,C45,129:129)+100</f>
        <v>120</v>
      </c>
      <c r="I45" s="4050" t="str">
        <f>D128</f>
        <v>1-2</v>
      </c>
      <c r="J45" s="510">
        <f>SUMIF(128:128,I45,129:129)-SUMIF(128:128,C45,129:129)+100</f>
        <v>110</v>
      </c>
      <c r="K45" s="551"/>
      <c r="L45" s="1864"/>
      <c r="M45" s="1854"/>
      <c r="N45" s="1854"/>
      <c r="O45" s="1863"/>
      <c r="P45" s="3923"/>
      <c r="Q45" s="1384" t="str">
        <f t="shared" si="13"/>
        <v>临海距离</v>
      </c>
      <c r="R45" s="1385" t="s">
        <v>5</v>
      </c>
      <c r="S45" s="1386">
        <f t="shared" si="9"/>
        <v>110</v>
      </c>
      <c r="T45" s="1385" t="s">
        <v>5</v>
      </c>
      <c r="U45" s="1386">
        <f t="shared" si="10"/>
        <v>120</v>
      </c>
      <c r="V45" s="1385" t="s">
        <v>5</v>
      </c>
      <c r="W45" s="1386">
        <f t="shared" si="11"/>
        <v>110</v>
      </c>
      <c r="X45" s="1379"/>
      <c r="Y45" s="3923"/>
      <c r="Z45" s="1387" t="str">
        <f t="shared" si="12"/>
        <v>临海距离</v>
      </c>
      <c r="AA45" s="1388">
        <f t="shared" si="3"/>
        <v>0.90909090909090906</v>
      </c>
      <c r="AB45" s="1388">
        <f t="shared" si="4"/>
        <v>0.83333333333333337</v>
      </c>
      <c r="AC45" s="1388">
        <f t="shared" si="5"/>
        <v>0.90909090909090906</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23"/>
      <c r="Q46" s="1384">
        <f t="shared" si="13"/>
        <v>111</v>
      </c>
      <c r="R46" s="1385" t="s">
        <v>5</v>
      </c>
      <c r="S46" s="1386">
        <f t="shared" si="9"/>
        <v>100</v>
      </c>
      <c r="T46" s="1385" t="s">
        <v>5</v>
      </c>
      <c r="U46" s="1386">
        <f t="shared" si="10"/>
        <v>100</v>
      </c>
      <c r="V46" s="1385" t="s">
        <v>5</v>
      </c>
      <c r="W46" s="1386">
        <f t="shared" si="11"/>
        <v>100</v>
      </c>
      <c r="X46" s="1379"/>
      <c r="Y46" s="3923"/>
      <c r="Z46" s="1387">
        <f t="shared" si="12"/>
        <v>111</v>
      </c>
      <c r="AA46" s="1388">
        <f t="shared" si="3"/>
        <v>1</v>
      </c>
      <c r="AB46" s="1388">
        <f t="shared" si="4"/>
        <v>1</v>
      </c>
      <c r="AC46" s="1388">
        <f t="shared" si="5"/>
        <v>1</v>
      </c>
    </row>
    <row r="47" spans="1:29" s="1199"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23"/>
      <c r="Q47" s="1384">
        <f t="shared" si="13"/>
        <v>111</v>
      </c>
      <c r="R47" s="1389" t="s">
        <v>5</v>
      </c>
      <c r="S47" s="1390">
        <f t="shared" si="9"/>
        <v>100</v>
      </c>
      <c r="T47" s="1389" t="s">
        <v>5</v>
      </c>
      <c r="U47" s="1390">
        <f t="shared" si="10"/>
        <v>100</v>
      </c>
      <c r="V47" s="1389" t="s">
        <v>5</v>
      </c>
      <c r="W47" s="1390">
        <f t="shared" si="11"/>
        <v>100</v>
      </c>
      <c r="X47" s="1391"/>
      <c r="Y47" s="3923"/>
      <c r="Z47" s="1392">
        <f t="shared" si="12"/>
        <v>111</v>
      </c>
      <c r="AA47" s="1388">
        <f t="shared" si="3"/>
        <v>1</v>
      </c>
      <c r="AB47" s="1388">
        <f t="shared" si="4"/>
        <v>1</v>
      </c>
      <c r="AC47" s="1388">
        <f t="shared" si="5"/>
        <v>1</v>
      </c>
    </row>
    <row r="48" spans="1:29" ht="20.25">
      <c r="A48" s="577" t="s">
        <v>505</v>
      </c>
      <c r="B48" s="578" t="s">
        <v>3368</v>
      </c>
      <c r="C48" s="579" t="s">
        <v>0</v>
      </c>
      <c r="D48" s="580"/>
      <c r="E48" s="581">
        <f>'案例-土地'!Q2</f>
        <v>10180</v>
      </c>
      <c r="F48" s="582"/>
      <c r="G48" s="581">
        <f>'案例-土地'!Q3</f>
        <v>13672</v>
      </c>
      <c r="H48" s="584"/>
      <c r="I48" s="581">
        <f>'案例-土地'!Q7</f>
        <v>12667</v>
      </c>
      <c r="J48" s="584"/>
      <c r="K48" s="1200"/>
      <c r="L48" s="1866"/>
      <c r="M48" s="1854"/>
      <c r="N48" s="1854"/>
      <c r="O48" s="1867"/>
      <c r="P48" s="3918" t="str">
        <f>A48</f>
        <v>成交单价</v>
      </c>
      <c r="Q48" s="3918"/>
      <c r="R48" s="3934">
        <f>E48</f>
        <v>10180</v>
      </c>
      <c r="S48" s="3934"/>
      <c r="T48" s="3934">
        <f>G48</f>
        <v>13672</v>
      </c>
      <c r="U48" s="3934"/>
      <c r="V48" s="3934">
        <f>I48</f>
        <v>12667</v>
      </c>
      <c r="W48" s="3934"/>
      <c r="X48" s="1374"/>
      <c r="Y48" s="1393"/>
      <c r="Z48" s="1374"/>
      <c r="AA48" s="1374"/>
      <c r="AB48" s="1374"/>
      <c r="AC48" s="1374"/>
    </row>
    <row r="49" spans="1:29" ht="21" thickBot="1">
      <c r="A49" s="585" t="s">
        <v>1972</v>
      </c>
      <c r="B49" s="586"/>
      <c r="C49" s="587">
        <f>R50</f>
        <v>10518</v>
      </c>
      <c r="D49" s="2756" t="s">
        <v>2253</v>
      </c>
      <c r="E49" s="587">
        <f>R49</f>
        <v>9461</v>
      </c>
      <c r="F49" s="2757"/>
      <c r="G49" s="588">
        <f>T49</f>
        <v>11105</v>
      </c>
      <c r="H49" s="2757"/>
      <c r="I49" s="587">
        <f>V49</f>
        <v>10988</v>
      </c>
      <c r="J49" s="2757"/>
      <c r="K49" s="2758">
        <f>F49+H49+J49</f>
        <v>0</v>
      </c>
      <c r="L49" s="1866"/>
      <c r="M49" s="1854"/>
      <c r="N49" s="1854"/>
      <c r="O49" s="1867"/>
      <c r="P49" s="3918" t="str">
        <f>A49</f>
        <v>比较价格（元/平方米）</v>
      </c>
      <c r="Q49" s="3918"/>
      <c r="R49" s="3942">
        <f>ROUND(PRODUCT(R48,AA9:AA47),0)</f>
        <v>9461</v>
      </c>
      <c r="S49" s="3942"/>
      <c r="T49" s="3942">
        <f>ROUND(PRODUCT(T48,AB9:AB47),0)</f>
        <v>11105</v>
      </c>
      <c r="U49" s="3942"/>
      <c r="V49" s="3942">
        <f>ROUND(PRODUCT(V48,AC9:AC47),0)</f>
        <v>10988</v>
      </c>
      <c r="W49" s="3942"/>
      <c r="X49" s="1374"/>
      <c r="Y49" s="1374"/>
      <c r="Z49" s="1374"/>
      <c r="AA49" s="1374"/>
      <c r="AB49" s="1374"/>
      <c r="AC49" s="1374"/>
    </row>
    <row r="50" spans="1:29" ht="21" thickBot="1">
      <c r="A50" s="589" t="s">
        <v>2190</v>
      </c>
      <c r="B50" s="590"/>
      <c r="C50" s="591">
        <f>R50</f>
        <v>10518</v>
      </c>
      <c r="D50" s="591"/>
      <c r="E50" s="591"/>
      <c r="F50" s="591"/>
      <c r="G50" s="591"/>
      <c r="H50" s="591"/>
      <c r="I50" s="591"/>
      <c r="J50" s="591"/>
      <c r="K50" s="1201"/>
      <c r="L50" s="1866"/>
      <c r="M50" s="1854"/>
      <c r="N50" s="1854"/>
      <c r="O50" s="1867"/>
      <c r="P50" s="3924" t="str">
        <f>A50</f>
        <v>估价对象XX用房的比较价格（楼面单价，元/平方米）</v>
      </c>
      <c r="Q50" s="3925"/>
      <c r="R50" s="3941">
        <f>ROUND(IF(D49="简单平均",AVERAGE(R49:W49),R49*F49+T49*H49+V49*J49),0)</f>
        <v>10518</v>
      </c>
      <c r="S50" s="3941"/>
      <c r="T50" s="3941"/>
      <c r="U50" s="3941"/>
      <c r="V50" s="3941"/>
      <c r="W50" s="3941"/>
      <c r="X50" s="1374"/>
      <c r="Y50" s="1374"/>
      <c r="Z50" s="1374"/>
      <c r="AA50" s="1374"/>
      <c r="AB50" s="1374"/>
      <c r="AC50" s="1374"/>
    </row>
    <row r="51" spans="1:29" ht="20.25">
      <c r="A51" s="2955"/>
      <c r="B51" s="2955"/>
      <c r="C51" s="2955" t="s">
        <v>3585</v>
      </c>
      <c r="D51" s="2955"/>
      <c r="E51" s="2955" t="s">
        <v>3597</v>
      </c>
      <c r="F51" s="2955"/>
      <c r="G51" s="2957" t="s">
        <v>3599</v>
      </c>
      <c r="H51" s="2955"/>
      <c r="I51" s="2957" t="s">
        <v>3598</v>
      </c>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7.5996194905401104E-2</v>
      </c>
      <c r="F53" s="595" t="str">
        <f>IF(OR(E53&gt;=0.3,E53&lt;=-0.3),"超过30%","")</f>
        <v/>
      </c>
      <c r="G53" s="594">
        <f>IF(G48&lt;G49,G49/G48-1,G48/G49-1)</f>
        <v>0.23115713642503377</v>
      </c>
      <c r="H53" s="595" t="str">
        <f>IF(OR(G53&gt;=0.3,G53&lt;=-0.3),"超过30%","")</f>
        <v/>
      </c>
      <c r="I53" s="594">
        <f>IF(I48&lt;I49,I49/I48-1,I48/I49-1)</f>
        <v>0.15280305788132509</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0.1737659866821688</v>
      </c>
      <c r="F54" s="595" t="str">
        <f>IF(OR(E54&gt;=0.2,E54&lt;=-0.2),"超过20%","")</f>
        <v/>
      </c>
      <c r="G54" s="594">
        <f>IF(G49&lt;I49,I49/G49-1,G49/I49-1)</f>
        <v>1.0647979614124559E-2</v>
      </c>
      <c r="H54" s="595" t="str">
        <f>IF(OR(G54&gt;=0.2,G54&lt;=-0.2),"超过20%","")</f>
        <v/>
      </c>
      <c r="I54" s="594">
        <f>IF(I49&lt;E49,E49/I49-1,I49/E49-1)</f>
        <v>0.16139942923581008</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0.34302554027504906</v>
      </c>
      <c r="F55" s="595" t="str">
        <f>IF(OR(E55&gt;=0.3,E55&lt;=-0.3),"超过30%","")</f>
        <v>超过30%</v>
      </c>
      <c r="G55" s="594">
        <f>IF(G48&lt;I48,I48/G48-1,G48/I48-1)</f>
        <v>7.9340017367963922E-2</v>
      </c>
      <c r="H55" s="595" t="str">
        <f>IF(OR(G55&gt;=0.3,G55&lt;=-0.3),"超过30%","")</f>
        <v/>
      </c>
      <c r="I55" s="594">
        <f>IF(I48&lt;E48,E48/I48-1,I48/E48-1)</f>
        <v>0.244302554027505</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1649</v>
      </c>
      <c r="E57" s="599" t="s">
        <v>511</v>
      </c>
      <c r="F57" s="600" t="s">
        <v>512</v>
      </c>
      <c r="G57" s="3903" t="s">
        <v>1638</v>
      </c>
      <c r="H57" s="3904"/>
      <c r="I57" s="1371" t="s">
        <v>1251</v>
      </c>
      <c r="J57" s="1371" t="str">
        <f>项目基本情况!F41</f>
        <v>海南省</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10518</v>
      </c>
      <c r="C58" s="603">
        <v>1</v>
      </c>
      <c r="D58" s="1946">
        <v>1</v>
      </c>
      <c r="E58" s="603">
        <f>'数据-汇总表'!E8+'数据-汇总表'!E9</f>
        <v>92978.39</v>
      </c>
      <c r="F58" s="604">
        <f t="shared" ref="F58:F66" si="14">ROUND(B58*E58/10000,0)</f>
        <v>97795</v>
      </c>
      <c r="G58" s="3905"/>
      <c r="H58" s="3906"/>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0</v>
      </c>
      <c r="C59" s="365">
        <f t="shared" ref="C59:C66" si="15">IF($C$57="北京市系数",I59,J59)</f>
        <v>0</v>
      </c>
      <c r="D59" s="1947">
        <v>0.25</v>
      </c>
      <c r="E59" s="607">
        <v>0</v>
      </c>
      <c r="F59" s="604">
        <f t="shared" si="14"/>
        <v>0</v>
      </c>
      <c r="G59" s="3275" t="s">
        <v>1639</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0</v>
      </c>
      <c r="C60" s="365">
        <f t="shared" si="15"/>
        <v>0</v>
      </c>
      <c r="D60" s="1947">
        <v>0.25</v>
      </c>
      <c r="E60" s="607">
        <v>0</v>
      </c>
      <c r="F60" s="604">
        <f t="shared" si="14"/>
        <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0</v>
      </c>
      <c r="C61" s="365">
        <f t="shared" si="15"/>
        <v>0</v>
      </c>
      <c r="D61" s="1947">
        <v>0.25</v>
      </c>
      <c r="E61" s="607">
        <v>0</v>
      </c>
      <c r="F61" s="604">
        <f t="shared" si="14"/>
        <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1682</v>
      </c>
      <c r="B62" s="606">
        <f t="shared" si="16"/>
        <v>0</v>
      </c>
      <c r="C62" s="365">
        <f t="shared" si="15"/>
        <v>0</v>
      </c>
      <c r="D62" s="1947">
        <v>0.25</v>
      </c>
      <c r="E62" s="609">
        <f>'数据-汇总表'!E11</f>
        <v>0</v>
      </c>
      <c r="F62" s="604">
        <f t="shared" si="14"/>
        <v>0</v>
      </c>
      <c r="G62" s="1700" t="s">
        <v>1640</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0</v>
      </c>
      <c r="C63" s="365">
        <f t="shared" si="15"/>
        <v>0</v>
      </c>
      <c r="D63" s="1947">
        <v>0.25</v>
      </c>
      <c r="E63" s="609">
        <f>'数据-汇总表'!E12</f>
        <v>0</v>
      </c>
      <c r="F63" s="604">
        <f t="shared" si="14"/>
        <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0</v>
      </c>
      <c r="C64" s="365">
        <f t="shared" si="15"/>
        <v>0</v>
      </c>
      <c r="D64" s="1947">
        <v>0.25</v>
      </c>
      <c r="E64" s="609">
        <f>'数据-汇总表'!E13</f>
        <v>0</v>
      </c>
      <c r="F64" s="604">
        <f t="shared" si="14"/>
        <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0</v>
      </c>
      <c r="C65" s="365">
        <f t="shared" si="15"/>
        <v>0</v>
      </c>
      <c r="D65" s="1947">
        <v>0.25</v>
      </c>
      <c r="E65" s="609">
        <f>'数据-汇总表'!E14</f>
        <v>0</v>
      </c>
      <c r="F65" s="604">
        <f t="shared" si="14"/>
        <v>0</v>
      </c>
      <c r="G65" s="1700" t="s">
        <v>1639</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0</v>
      </c>
      <c r="C66" s="365">
        <f t="shared" si="15"/>
        <v>0</v>
      </c>
      <c r="D66" s="1947">
        <v>0.25</v>
      </c>
      <c r="E66" s="609">
        <f>'数据-汇总表'!E15</f>
        <v>0</v>
      </c>
      <c r="F66" s="604">
        <f t="shared" si="14"/>
        <v>0</v>
      </c>
      <c r="G66" s="1702" t="s">
        <v>1640</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1650</v>
      </c>
      <c r="E67" s="611">
        <f>IF(B48="楼面地价",SUM(E58:E66),'数据-汇总表'!D3)</f>
        <v>92978.39</v>
      </c>
      <c r="F67" s="612">
        <f>IF(B48="楼面地价",SUM(F58:F66),ROUND(C50*E67/10000,0))</f>
        <v>97795</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2023-4-1</v>
      </c>
      <c r="D69" s="2278">
        <f>EDATE(C69,-3)</f>
        <v>44927</v>
      </c>
      <c r="E69" s="2278">
        <f t="shared" ref="E69:N69" si="17">EDATE(D69,-3)</f>
        <v>44835</v>
      </c>
      <c r="F69" s="2278">
        <f t="shared" si="17"/>
        <v>44743</v>
      </c>
      <c r="G69" s="2278">
        <f t="shared" si="17"/>
        <v>44652</v>
      </c>
      <c r="H69" s="2278">
        <f t="shared" si="17"/>
        <v>44562</v>
      </c>
      <c r="I69" s="2278">
        <f t="shared" si="17"/>
        <v>44470</v>
      </c>
      <c r="J69" s="2278">
        <f t="shared" si="17"/>
        <v>44378</v>
      </c>
      <c r="K69" s="2278">
        <f t="shared" si="17"/>
        <v>44287</v>
      </c>
      <c r="L69" s="2278">
        <f t="shared" si="17"/>
        <v>44197</v>
      </c>
      <c r="M69" s="2278">
        <f t="shared" si="17"/>
        <v>44105</v>
      </c>
      <c r="N69" s="2278">
        <f t="shared" si="17"/>
        <v>44013</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1812</v>
      </c>
      <c r="B71" s="2185"/>
      <c r="C71" s="2275" t="str">
        <f>YEAR(C69)&amp;"-"&amp;ROUNDUP(MONTH(C69)/3,0)</f>
        <v>2023-2</v>
      </c>
      <c r="D71" s="2280" t="str">
        <f>YEAR(D69)&amp;"-"&amp;ROUNDUP(MONTH(D69)/3,0)</f>
        <v>2023-1</v>
      </c>
      <c r="E71" s="2280" t="str">
        <f t="shared" ref="E71:N71" si="18">YEAR(E69)&amp;"-"&amp;ROUNDUP(MONTH(E69)/3,0)</f>
        <v>2022-4</v>
      </c>
      <c r="F71" s="2280" t="str">
        <f t="shared" si="18"/>
        <v>2022-3</v>
      </c>
      <c r="G71" s="2280" t="str">
        <f t="shared" si="18"/>
        <v>2022-2</v>
      </c>
      <c r="H71" s="2280" t="str">
        <f t="shared" si="18"/>
        <v>2022-1</v>
      </c>
      <c r="I71" s="2280" t="str">
        <f t="shared" si="18"/>
        <v>2021-4</v>
      </c>
      <c r="J71" s="2280" t="str">
        <f t="shared" si="18"/>
        <v>2021-3</v>
      </c>
      <c r="K71" s="2280" t="str">
        <f t="shared" si="18"/>
        <v>2021-2</v>
      </c>
      <c r="L71" s="2280" t="str">
        <f t="shared" si="18"/>
        <v>2021-1</v>
      </c>
      <c r="M71" s="2280" t="str">
        <f t="shared" si="18"/>
        <v>2020-4</v>
      </c>
      <c r="N71" s="2280" t="str">
        <f t="shared" si="18"/>
        <v>2020-3</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1926</v>
      </c>
      <c r="B72" s="465" t="str">
        <f>"北京市平均增长率"&amp;TEXT(SUMIF(基准地价!N25:N29,A72,基准地价!P25:P29),"0.00%")</f>
        <v>北京市平均增长率0.00%</v>
      </c>
      <c r="C72" s="856">
        <v>100</v>
      </c>
      <c r="D72" s="698">
        <f t="shared" ref="D72:I72" si="19">C72-1</f>
        <v>99</v>
      </c>
      <c r="E72" s="698">
        <f t="shared" si="19"/>
        <v>98</v>
      </c>
      <c r="F72" s="698">
        <f t="shared" si="19"/>
        <v>97</v>
      </c>
      <c r="G72" s="698">
        <f t="shared" si="19"/>
        <v>96</v>
      </c>
      <c r="H72" s="698">
        <f t="shared" si="19"/>
        <v>95</v>
      </c>
      <c r="I72" s="698">
        <f t="shared" si="19"/>
        <v>94</v>
      </c>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1925</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8" t="s">
        <v>3609</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0">D81&amp;"（含）"&amp;"-"&amp;E81</f>
        <v>1（含）-2</v>
      </c>
      <c r="E80" s="650" t="str">
        <f t="shared" si="20"/>
        <v>2（含）-3</v>
      </c>
      <c r="F80" s="650" t="str">
        <f t="shared" si="20"/>
        <v>3（含）-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95</v>
      </c>
      <c r="E82" s="647">
        <f t="shared" si="21"/>
        <v>90</v>
      </c>
      <c r="F82" s="647">
        <f t="shared" si="21"/>
        <v>85</v>
      </c>
      <c r="G82" s="647">
        <f t="shared" si="21"/>
        <v>80</v>
      </c>
      <c r="H82" s="647">
        <f t="shared" si="21"/>
        <v>75</v>
      </c>
      <c r="I82" s="647">
        <f t="shared" si="21"/>
        <v>70</v>
      </c>
      <c r="J82" s="647">
        <f t="shared" si="21"/>
        <v>65</v>
      </c>
      <c r="K82" s="647">
        <f t="shared" si="21"/>
        <v>60</v>
      </c>
      <c r="L82" s="647">
        <f t="shared" si="21"/>
        <v>55</v>
      </c>
      <c r="M82" s="647">
        <f t="shared" si="21"/>
        <v>50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97</v>
      </c>
      <c r="E90" s="647">
        <f>D90-$K17</f>
        <v>94</v>
      </c>
      <c r="F90" s="647">
        <f>E90-$K17</f>
        <v>91</v>
      </c>
      <c r="G90" s="647">
        <f>F90-$K17</f>
        <v>88</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98</v>
      </c>
      <c r="E92" s="647">
        <f>D92-$K19</f>
        <v>96</v>
      </c>
      <c r="F92" s="647">
        <f>E92-$K19</f>
        <v>94</v>
      </c>
      <c r="G92" s="647">
        <f>F92-$K19</f>
        <v>92</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97</v>
      </c>
      <c r="E100" s="647">
        <f>D100-$K27</f>
        <v>94</v>
      </c>
      <c r="F100" s="647">
        <f>E100-$K27</f>
        <v>91</v>
      </c>
      <c r="G100" s="647">
        <f>F100-$K27</f>
        <v>88</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1828</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1830</v>
      </c>
      <c r="C103" s="2205" t="s">
        <v>1831</v>
      </c>
      <c r="D103" s="2205" t="s">
        <v>1832</v>
      </c>
      <c r="E103" s="2205" t="s">
        <v>1833</v>
      </c>
      <c r="F103" s="2205" t="s">
        <v>1834</v>
      </c>
      <c r="G103" s="2205" t="s">
        <v>1835</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0(含)-20000</v>
      </c>
      <c r="D117" s="672" t="str">
        <f t="shared" si="25"/>
        <v>20000(含)-50000</v>
      </c>
      <c r="E117" s="672" t="str">
        <f t="shared" si="25"/>
        <v>50000(含)-100000</v>
      </c>
      <c r="F117" s="672" t="str">
        <f t="shared" si="25"/>
        <v>100000(含)-200000</v>
      </c>
      <c r="G117" s="672" t="str">
        <f t="shared" si="25"/>
        <v>200000(含)-</v>
      </c>
      <c r="H117" s="672" t="str">
        <f t="shared" si="25"/>
        <v>(含)-</v>
      </c>
      <c r="I117" s="672"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20000</v>
      </c>
      <c r="E118" s="698">
        <v>50000</v>
      </c>
      <c r="F118" s="698">
        <v>100000</v>
      </c>
      <c r="G118" s="698">
        <v>200000</v>
      </c>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C119+2</f>
        <v>102</v>
      </c>
      <c r="E119" s="694">
        <f>D119+2</f>
        <v>104</v>
      </c>
      <c r="F119" s="694">
        <f>E119+2</f>
        <v>106</v>
      </c>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79" t="s">
        <v>3372</v>
      </c>
      <c r="D120" s="3679" t="s">
        <v>3589</v>
      </c>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0" t="s">
        <v>3373</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1774</v>
      </c>
      <c r="C124" s="1232" t="str">
        <f>C103</f>
        <v>七通</v>
      </c>
      <c r="D124" s="1232" t="str">
        <f>D103</f>
        <v>六通</v>
      </c>
      <c r="E124" s="1232" t="str">
        <f>E103</f>
        <v>五通</v>
      </c>
      <c r="F124" s="1232" t="str">
        <f>F103</f>
        <v>四通</v>
      </c>
      <c r="G124" s="1232" t="str">
        <f>G103</f>
        <v>三通</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tr">
        <f>C101</f>
        <v>好</v>
      </c>
      <c r="D126" s="656" t="str">
        <f>D101</f>
        <v>较好</v>
      </c>
      <c r="E126" s="656" t="str">
        <f>E101</f>
        <v>一般</v>
      </c>
      <c r="F126" s="656" t="str">
        <f>F101</f>
        <v>较差</v>
      </c>
      <c r="G126" s="656" t="str">
        <f>G101</f>
        <v>差</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t="str">
        <f>B45</f>
        <v>临海距离</v>
      </c>
      <c r="C128" s="3680" t="s">
        <v>3596</v>
      </c>
      <c r="D128" s="4049" t="s">
        <v>3593</v>
      </c>
      <c r="E128" s="656" t="s">
        <v>3592</v>
      </c>
      <c r="F128" s="3680" t="s">
        <v>3594</v>
      </c>
      <c r="G128" s="3680" t="s">
        <v>3594</v>
      </c>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v>100</v>
      </c>
      <c r="D129" s="660">
        <v>90</v>
      </c>
      <c r="E129" s="660">
        <v>80</v>
      </c>
      <c r="F129" s="629"/>
      <c r="G129" s="660" t="s">
        <v>3595</v>
      </c>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19" sqref="M19"/>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31" s="1764" customFormat="1" ht="18" customHeight="1">
      <c r="A2" s="1823" t="s">
        <v>427</v>
      </c>
      <c r="B2" s="1827">
        <f ca="1">C36</f>
        <v>102912</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8049</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26295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1753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288903</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851</v>
      </c>
      <c r="D7" s="423" t="s">
        <v>2733</v>
      </c>
      <c r="E7" s="423" t="s">
        <v>3429</v>
      </c>
      <c r="F7" s="423" t="s">
        <v>2734</v>
      </c>
      <c r="G7" s="423"/>
      <c r="H7" s="423"/>
      <c r="I7" s="423"/>
      <c r="J7" s="423"/>
      <c r="K7" s="424"/>
      <c r="AA7" s="1834"/>
      <c r="AB7" s="1834"/>
      <c r="AC7" s="1834"/>
      <c r="AD7" s="1834"/>
      <c r="AE7" s="1834"/>
    </row>
    <row r="8" spans="1:31" s="1837" customFormat="1" ht="13.5" customHeight="1">
      <c r="A8" s="769" t="s">
        <v>1374</v>
      </c>
      <c r="B8" s="252" t="s">
        <v>432</v>
      </c>
      <c r="C8" s="2313">
        <f>'不动产比较法-住宅'!B3</f>
        <v>32117</v>
      </c>
      <c r="D8" s="2313">
        <f ca="1">'不动产收益法-商业'!B3</f>
        <v>25131</v>
      </c>
      <c r="E8" s="2313">
        <f>'不动产比较法-公寓'!B3</f>
        <v>27795</v>
      </c>
      <c r="F8" s="2313">
        <v>0</v>
      </c>
      <c r="G8" s="2313"/>
      <c r="H8" s="2313"/>
      <c r="I8" s="2313"/>
      <c r="J8" s="2313"/>
      <c r="K8" s="2314"/>
      <c r="M8" s="3720" t="s">
        <v>3586</v>
      </c>
      <c r="AA8" s="1836"/>
      <c r="AB8" s="1836"/>
      <c r="AC8" s="1836"/>
      <c r="AD8" s="1836"/>
      <c r="AE8" s="1836"/>
    </row>
    <row r="9" spans="1:31" s="1837" customFormat="1" ht="13.5" customHeight="1">
      <c r="A9" s="769" t="s">
        <v>1375</v>
      </c>
      <c r="B9" s="252" t="s">
        <v>433</v>
      </c>
      <c r="C9" s="428">
        <f>SUMIF('数据-汇总表'!$C19:$C33,'剩余法-待开发'!C7,'数据-汇总表'!$E19:$E33)</f>
        <v>77355.81</v>
      </c>
      <c r="D9" s="428">
        <f>SUMIF('数据-汇总表'!$C19:$C33,'剩余法-待开发'!D7,'数据-汇总表'!$E19:$E33)</f>
        <v>11128.710000000001</v>
      </c>
      <c r="E9" s="428">
        <f>SUMIF('数据-汇总表'!$C19:$C33,'剩余法-待开发'!E7,'数据-汇总表'!$E19:$E33)</f>
        <v>4493.869999999999</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248444</v>
      </c>
      <c r="D10" s="2501">
        <f ca="1">'不动产收益法-商业'!B2</f>
        <v>27968</v>
      </c>
      <c r="E10" s="2501">
        <f>'不动产比较法-公寓'!B2</f>
        <v>12491</v>
      </c>
      <c r="F10" s="2316">
        <v>0</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77748</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3887</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5415</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2557</v>
      </c>
      <c r="D16" s="2323">
        <f ca="1">IF(B1="",'数据-汇总表'!E3,INDIRECT("'数据-取费表'!K"&amp;$K$1)+INDIRECT("'数据-取费表'!S"&amp;$K$1))</f>
        <v>127861.33</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1166</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90773</v>
      </c>
      <c r="D18" s="2332"/>
      <c r="E18" s="454"/>
      <c r="F18" s="454"/>
      <c r="G18" s="2295" t="s">
        <v>1778</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127861.33</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2813</v>
      </c>
      <c r="D20" s="2333"/>
      <c r="E20" s="2287"/>
      <c r="F20" s="2334"/>
      <c r="G20" s="2532"/>
      <c r="H20" s="2289"/>
      <c r="I20" s="2290" t="s">
        <v>1930</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1702</v>
      </c>
      <c r="D21" s="2323">
        <f ca="1">IF(B1="",'数据-汇总表'!E5,IF(INDIRECT("'数据-取费表'!c"&amp;$K$1)="住宅",INDIRECT("'数据-取费表'!k"&amp;$K$1),0))</f>
        <v>77355.81</v>
      </c>
      <c r="E21" s="51">
        <f>'数据-取费表'!B27</f>
        <v>220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1111</v>
      </c>
      <c r="D22" s="2323">
        <f ca="1">IF(B1="",'数据-汇总表'!E6,IF(INDIRECT("'数据-取费表'!c"&amp;$K$1)="住宅",INDIRECT("'数据-取费表'!s"&amp;$K$1),INDIRECT("'数据-取费表'!k"&amp;$K$1)+INDIRECT("'数据-取费表'!s"&amp;$K$1)))</f>
        <v>50505.520000000004</v>
      </c>
      <c r="E22" s="51">
        <f>'数据-取费表'!B28</f>
        <v>220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2106</v>
      </c>
      <c r="C23" s="2331">
        <f ca="1">ROUND((C18+C19+C20)*F23,0)</f>
        <v>2808</v>
      </c>
      <c r="D23" s="454"/>
      <c r="E23" s="454"/>
      <c r="F23" s="2335">
        <f>'数据-取费表'!B37</f>
        <v>0.03</v>
      </c>
      <c r="G23" s="2291" t="s">
        <v>1779</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2109</v>
      </c>
      <c r="C24" s="2331">
        <f ca="1">ROUND(C6*F24,0)</f>
        <v>8667</v>
      </c>
      <c r="D24" s="461"/>
      <c r="E24" s="459"/>
      <c r="F24" s="2335">
        <f>'数据-取费表'!B38</f>
        <v>0.03</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2107</v>
      </c>
      <c r="C25" s="453">
        <f>ROUND(F25/(1+'数据-取费表'!C42),4)</f>
        <v>2.9000000000000001E-2</v>
      </c>
      <c r="D25" s="448" t="s">
        <v>2102</v>
      </c>
      <c r="E25" s="455"/>
      <c r="F25" s="2335">
        <f>IF(项目基本情况!B8="出让",0,'数据-取费表'!B48+'数据-取费表'!B49)</f>
        <v>3.0499999999999999E-2</v>
      </c>
      <c r="G25" s="2299" t="s">
        <v>1646</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2108</v>
      </c>
      <c r="C26" s="2336">
        <f ca="1">C28</f>
        <v>6607</v>
      </c>
      <c r="D26" s="453">
        <f ca="1">C27</f>
        <v>0.13350000000000001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0.13350000000000001</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2110</v>
      </c>
      <c r="C28" s="2339">
        <f ca="1">ROUND(IF('数据-取费表'!B22&lt;=1,(C18+C19+C20+C23+C24)*F26*'数据-取费表'!B24/2,(C18+C19+C20+C23+C24)*(POWER((1+F26),'数据-取费表'!B24/2)-1)),0)</f>
        <v>6607</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15408</v>
      </c>
      <c r="D29" s="454"/>
      <c r="E29" s="454"/>
      <c r="F29" s="2507">
        <f>'数据-取费表'!B41</f>
        <v>5.6000000000000001E-2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127076</v>
      </c>
      <c r="D30" s="463">
        <f ca="1">C32</f>
        <v>0.16250000000000001</v>
      </c>
      <c r="E30" s="455" t="s">
        <v>455</v>
      </c>
      <c r="F30" s="457"/>
      <c r="G30" s="2299" t="s">
        <v>2222</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127076</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0.16250000000000001</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2105</v>
      </c>
      <c r="B33" s="2502" t="s">
        <v>2103</v>
      </c>
      <c r="C33" s="464">
        <f ca="1">C35</f>
        <v>21012</v>
      </c>
      <c r="D33" s="453">
        <f ca="1">C34</f>
        <v>0.20580000000000001</v>
      </c>
      <c r="E33" s="455" t="s">
        <v>455</v>
      </c>
      <c r="F33" s="465">
        <f ca="1">IF(B1="",'数据-取费表'!Q16,INDIRECT("'数据-取费表'!q"&amp;$K$1))</f>
        <v>0.2</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0.20580000000000001</v>
      </c>
      <c r="D34" s="458"/>
      <c r="E34" s="459"/>
      <c r="F34" s="466"/>
      <c r="G34" s="252" t="s">
        <v>1647</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2111</v>
      </c>
      <c r="C35" s="1434">
        <f ca="1">ROUND((C18+C19+C20+C23+C24)*F33,0)</f>
        <v>21012</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102912</v>
      </c>
      <c r="D36" s="2305"/>
      <c r="E36" s="2305"/>
      <c r="F36" s="2305"/>
      <c r="G36" s="2304" t="s">
        <v>2112</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1931</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77748</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3887</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5415</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2557</v>
      </c>
      <c r="D16" s="437">
        <f ca="1">IF(B1="",'数据-汇总表'!E3,INDIRECT("'数据-取费表'!K"&amp;$K$1)+INDIRECT("'数据-取费表'!S"&amp;$K$1))</f>
        <v>127861.33</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1166</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90773</v>
      </c>
      <c r="D18" s="447"/>
      <c r="E18" s="448"/>
      <c r="F18" s="448"/>
      <c r="G18" s="1194" t="s">
        <v>1780</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2723</v>
      </c>
      <c r="D19" s="447"/>
      <c r="E19" s="448"/>
      <c r="F19" s="452">
        <f>'数据-取费表'!B37</f>
        <v>0.03</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5880</v>
      </c>
      <c r="D20" s="448">
        <f ca="1">ROUND(((1+F20)^'数据-取费表'!B20)-1,4)</f>
        <v>0.12970000000000001</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1797</v>
      </c>
      <c r="M20" s="2950"/>
      <c r="N20" s="2950"/>
      <c r="O20" s="2950"/>
      <c r="P20" s="2950"/>
      <c r="Q20" s="2943"/>
      <c r="R20" s="2943"/>
      <c r="S20" s="2943"/>
      <c r="T20" s="2943"/>
      <c r="U20" s="2943"/>
      <c r="V20" s="2943"/>
      <c r="W20" s="2943"/>
      <c r="X20" s="2943"/>
      <c r="Y20" s="2943"/>
      <c r="Z20" s="2943"/>
    </row>
    <row r="21" spans="1:26" s="1842" customFormat="1" ht="13.5" customHeight="1">
      <c r="A21" s="1440" t="s">
        <v>2290</v>
      </c>
      <c r="B21" s="2502" t="s">
        <v>2104</v>
      </c>
      <c r="C21" s="464">
        <f ca="1">ROUND((C18+C19)*F21,0)</f>
        <v>18699</v>
      </c>
      <c r="D21" s="3027"/>
      <c r="E21" s="448"/>
      <c r="F21" s="465">
        <f ca="1">IF(B1="",'数据-取费表'!Q16,INDIRECT("'数据-取费表'!q"&amp;$K$1))</f>
        <v>0.2</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2291</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943" t="s">
        <v>1394</v>
      </c>
      <c r="B24" s="3944"/>
      <c r="C24" s="3037">
        <f>ROUND(C6*F24/(1+'数据-取费表'!B42),0)</f>
        <v>0</v>
      </c>
      <c r="D24" s="3038"/>
      <c r="E24" s="3039"/>
      <c r="F24" s="3040">
        <f>'数据-取费表'!B41</f>
        <v>5.6000000000000001E-2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943" t="s">
        <v>2288</v>
      </c>
      <c r="B25" s="3944"/>
      <c r="C25" s="3037">
        <f>ROUND(C6*F25,0)</f>
        <v>0</v>
      </c>
      <c r="D25" s="3038"/>
      <c r="E25" s="3039"/>
      <c r="F25" s="3043">
        <f>'数据-取费表'!B38</f>
        <v>0.03</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943" t="s">
        <v>2289</v>
      </c>
      <c r="B26" s="3944"/>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45" t="s">
        <v>2287</v>
      </c>
      <c r="B27" s="3946"/>
      <c r="C27" s="3045">
        <f ca="1">(C6-C23-C24-C25)/((1+F26)*(1+D20+F21))</f>
        <v>0</v>
      </c>
      <c r="D27" s="3046"/>
      <c r="E27" s="3046"/>
      <c r="F27" s="3046"/>
      <c r="G27" s="3047" t="s">
        <v>2223</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926" t="s">
        <v>471</v>
      </c>
      <c r="D6" s="3927"/>
      <c r="E6" s="3952" t="s">
        <v>472</v>
      </c>
      <c r="F6" s="3953"/>
      <c r="G6" s="3926" t="s">
        <v>473</v>
      </c>
      <c r="H6" s="3927"/>
      <c r="I6" s="3926" t="s">
        <v>474</v>
      </c>
      <c r="J6" s="3927"/>
      <c r="K6" s="484" t="s">
        <v>475</v>
      </c>
      <c r="L6" s="1855"/>
      <c r="M6" s="1856"/>
      <c r="N6" s="1856"/>
      <c r="O6" s="1856"/>
      <c r="P6" s="3928" t="s">
        <v>476</v>
      </c>
      <c r="Q6" s="3929"/>
      <c r="R6" s="3912" t="s">
        <v>472</v>
      </c>
      <c r="S6" s="3913"/>
      <c r="T6" s="3912" t="s">
        <v>473</v>
      </c>
      <c r="U6" s="3913"/>
      <c r="V6" s="3934" t="s">
        <v>474</v>
      </c>
      <c r="W6" s="3934"/>
      <c r="X6" s="1379"/>
      <c r="Y6" s="3912" t="s">
        <v>476</v>
      </c>
      <c r="Z6" s="3913"/>
      <c r="AA6" s="3907" t="s">
        <v>472</v>
      </c>
      <c r="AB6" s="3908" t="s">
        <v>473</v>
      </c>
      <c r="AC6" s="3907" t="s">
        <v>474</v>
      </c>
    </row>
    <row r="7" spans="1:29" ht="15">
      <c r="A7" s="485"/>
      <c r="B7" s="486"/>
      <c r="C7" s="3937" t="s">
        <v>2184</v>
      </c>
      <c r="D7" s="3938"/>
      <c r="E7" s="3954" t="s">
        <v>2185</v>
      </c>
      <c r="F7" s="3955"/>
      <c r="G7" s="3937" t="s">
        <v>2186</v>
      </c>
      <c r="H7" s="3938"/>
      <c r="I7" s="3937" t="s">
        <v>2187</v>
      </c>
      <c r="J7" s="3938"/>
      <c r="K7" s="484"/>
      <c r="L7" s="1855"/>
      <c r="M7" s="1856"/>
      <c r="N7" s="1856"/>
      <c r="O7" s="1856"/>
      <c r="P7" s="3930"/>
      <c r="Q7" s="3931"/>
      <c r="R7" s="3914"/>
      <c r="S7" s="3915"/>
      <c r="T7" s="3914"/>
      <c r="U7" s="3915"/>
      <c r="V7" s="3934"/>
      <c r="W7" s="3934"/>
      <c r="X7" s="1379"/>
      <c r="Y7" s="3914"/>
      <c r="Z7" s="3915"/>
      <c r="AA7" s="3908"/>
      <c r="AB7" s="3908"/>
      <c r="AC7" s="3908"/>
    </row>
    <row r="8" spans="1:29" ht="15.75" thickBot="1">
      <c r="A8" s="487"/>
      <c r="B8" s="488"/>
      <c r="C8" s="3935" t="s">
        <v>2188</v>
      </c>
      <c r="D8" s="3936"/>
      <c r="E8" s="3956" t="s">
        <v>2188</v>
      </c>
      <c r="F8" s="3957"/>
      <c r="G8" s="3935" t="s">
        <v>2188</v>
      </c>
      <c r="H8" s="3936"/>
      <c r="I8" s="3935" t="s">
        <v>2188</v>
      </c>
      <c r="J8" s="3936"/>
      <c r="K8" s="484" t="s">
        <v>477</v>
      </c>
      <c r="L8" s="1855"/>
      <c r="M8" s="1856"/>
      <c r="N8" s="1856"/>
      <c r="O8" s="1856"/>
      <c r="P8" s="3932"/>
      <c r="Q8" s="3933"/>
      <c r="R8" s="3914"/>
      <c r="S8" s="3915"/>
      <c r="T8" s="3916"/>
      <c r="U8" s="3917"/>
      <c r="V8" s="3934"/>
      <c r="W8" s="3934"/>
      <c r="X8" s="1379"/>
      <c r="Y8" s="3916"/>
      <c r="Z8" s="3917"/>
      <c r="AA8" s="3909"/>
      <c r="AB8" s="3909"/>
      <c r="AC8" s="3909"/>
    </row>
    <row r="9" spans="1:29" s="1117" customFormat="1" ht="15.75" thickBot="1">
      <c r="A9" s="2391"/>
      <c r="B9" s="2398" t="s">
        <v>478</v>
      </c>
      <c r="C9" s="489">
        <f>'数据-取费表'!B2</f>
        <v>45034</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10" t="s">
        <v>479</v>
      </c>
      <c r="Q9" s="3919"/>
      <c r="R9" s="1380" t="s">
        <v>5</v>
      </c>
      <c r="S9" s="1381">
        <f t="shared" ref="S9:S17" si="0">F9</f>
        <v>0</v>
      </c>
      <c r="T9" s="1380" t="s">
        <v>5</v>
      </c>
      <c r="U9" s="1381">
        <f t="shared" ref="U9:U17" si="1">H9</f>
        <v>0</v>
      </c>
      <c r="V9" s="1380" t="s">
        <v>5</v>
      </c>
      <c r="W9" s="1381">
        <f t="shared" ref="W9:W17" si="2">J9</f>
        <v>0</v>
      </c>
      <c r="X9" s="1382"/>
      <c r="Y9" s="3910" t="s">
        <v>479</v>
      </c>
      <c r="Z9" s="3911"/>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10" t="s">
        <v>482</v>
      </c>
      <c r="Q10" s="3911"/>
      <c r="R10" s="1380" t="s">
        <v>5</v>
      </c>
      <c r="S10" s="1381">
        <f t="shared" si="0"/>
        <v>0</v>
      </c>
      <c r="T10" s="1380" t="s">
        <v>5</v>
      </c>
      <c r="U10" s="1381">
        <f t="shared" si="1"/>
        <v>0</v>
      </c>
      <c r="V10" s="1380" t="s">
        <v>5</v>
      </c>
      <c r="W10" s="1381">
        <f t="shared" si="2"/>
        <v>0</v>
      </c>
      <c r="X10" s="1382"/>
      <c r="Y10" s="3910" t="s">
        <v>482</v>
      </c>
      <c r="Z10" s="3911"/>
      <c r="AA10" s="1383" t="e">
        <f t="shared" ref="AA10:AA42" si="3">D10/F10</f>
        <v>#DIV/0!</v>
      </c>
      <c r="AB10" s="1383" t="e">
        <f t="shared" ref="AB10:AB42" si="4">D10/H10</f>
        <v>#DIV/0!</v>
      </c>
      <c r="AC10" s="1383" t="e">
        <f t="shared" ref="AC10:AC42" si="5">D10/J10</f>
        <v>#DIV/0!</v>
      </c>
    </row>
    <row r="11" spans="1:29" s="1117" customFormat="1" ht="15">
      <c r="A11" s="2393"/>
      <c r="B11" s="2400" t="s">
        <v>2035</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18" t="s">
        <v>484</v>
      </c>
      <c r="Q11" s="1049" t="str">
        <f t="shared" ref="Q11:Q17" si="6">B11</f>
        <v>用途</v>
      </c>
      <c r="R11" s="1380" t="s">
        <v>5</v>
      </c>
      <c r="S11" s="1381">
        <f t="shared" si="0"/>
        <v>100</v>
      </c>
      <c r="T11" s="1380" t="s">
        <v>5</v>
      </c>
      <c r="U11" s="1381">
        <f t="shared" si="1"/>
        <v>100</v>
      </c>
      <c r="V11" s="1380" t="s">
        <v>5</v>
      </c>
      <c r="W11" s="1381">
        <f t="shared" si="2"/>
        <v>100</v>
      </c>
      <c r="X11" s="1382"/>
      <c r="Y11" s="3870" t="s">
        <v>485</v>
      </c>
      <c r="Z11" s="1048" t="str">
        <f t="shared" ref="Z11:Z17" si="7">Q11</f>
        <v>用途</v>
      </c>
      <c r="AA11" s="1383">
        <f t="shared" si="3"/>
        <v>1</v>
      </c>
      <c r="AB11" s="1383">
        <f t="shared" si="4"/>
        <v>1</v>
      </c>
      <c r="AC11" s="1383">
        <f t="shared" si="5"/>
        <v>1</v>
      </c>
    </row>
    <row r="12" spans="1:29" s="1198" customFormat="1" ht="27">
      <c r="A12" s="2394"/>
      <c r="B12" s="2399" t="s">
        <v>2036</v>
      </c>
      <c r="C12" s="498"/>
      <c r="D12" s="246">
        <v>100</v>
      </c>
      <c r="E12" s="498"/>
      <c r="F12" s="246">
        <f>ROUND(100/'数据-取费表'!G16,0)</f>
        <v>101</v>
      </c>
      <c r="G12" s="498"/>
      <c r="H12" s="246">
        <f>ROUND(100/'数据-取费表'!G16,0)</f>
        <v>101</v>
      </c>
      <c r="I12" s="498"/>
      <c r="J12" s="246">
        <f>ROUND(100/'数据-取费表'!G16,0)</f>
        <v>101</v>
      </c>
      <c r="K12" s="501"/>
      <c r="L12" s="1860"/>
      <c r="M12" s="1899"/>
      <c r="N12" s="1899"/>
      <c r="O12" s="1861"/>
      <c r="P12" s="3918"/>
      <c r="Q12" s="1049" t="str">
        <f t="shared" si="6"/>
        <v>土地使用年限（年）</v>
      </c>
      <c r="R12" s="1380" t="s">
        <v>5</v>
      </c>
      <c r="S12" s="1381">
        <f t="shared" si="0"/>
        <v>101</v>
      </c>
      <c r="T12" s="1380" t="s">
        <v>5</v>
      </c>
      <c r="U12" s="1381">
        <f t="shared" si="1"/>
        <v>101</v>
      </c>
      <c r="V12" s="1380" t="s">
        <v>5</v>
      </c>
      <c r="W12" s="1381">
        <f t="shared" si="2"/>
        <v>101</v>
      </c>
      <c r="X12" s="1382"/>
      <c r="Y12" s="3870"/>
      <c r="Z12" s="1048" t="str">
        <f t="shared" si="7"/>
        <v>土地使用年限（年）</v>
      </c>
      <c r="AA12" s="1383">
        <f t="shared" si="3"/>
        <v>0.99009900990099009</v>
      </c>
      <c r="AB12" s="1383">
        <f t="shared" si="4"/>
        <v>0.99009900990099009</v>
      </c>
      <c r="AC12" s="1383">
        <f t="shared" si="5"/>
        <v>0.99009900990099009</v>
      </c>
    </row>
    <row r="13" spans="1:29" ht="15">
      <c r="A13" s="2395"/>
      <c r="B13" s="2399" t="s">
        <v>2037</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18"/>
      <c r="Q13" s="1049" t="str">
        <f t="shared" si="6"/>
        <v>容积率</v>
      </c>
      <c r="R13" s="1380" t="s">
        <v>5</v>
      </c>
      <c r="S13" s="1381" t="e">
        <f t="shared" si="0"/>
        <v>#N/A</v>
      </c>
      <c r="T13" s="1380" t="s">
        <v>5</v>
      </c>
      <c r="U13" s="1381" t="e">
        <f t="shared" si="1"/>
        <v>#N/A</v>
      </c>
      <c r="V13" s="1380" t="s">
        <v>5</v>
      </c>
      <c r="W13" s="1381" t="e">
        <f t="shared" si="2"/>
        <v>#N/A</v>
      </c>
      <c r="X13" s="1382"/>
      <c r="Y13" s="3870"/>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18"/>
      <c r="Q15" s="1049">
        <f t="shared" si="6"/>
        <v>111</v>
      </c>
      <c r="R15" s="1380" t="s">
        <v>5</v>
      </c>
      <c r="S15" s="1381">
        <f t="shared" si="0"/>
        <v>100</v>
      </c>
      <c r="T15" s="1380" t="s">
        <v>5</v>
      </c>
      <c r="U15" s="1381">
        <f t="shared" si="1"/>
        <v>100</v>
      </c>
      <c r="V15" s="1380" t="s">
        <v>5</v>
      </c>
      <c r="W15" s="1381">
        <f t="shared" si="2"/>
        <v>100</v>
      </c>
      <c r="X15" s="1382"/>
      <c r="Y15" s="3870"/>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18"/>
      <c r="Q16" s="1049">
        <f t="shared" si="6"/>
        <v>111</v>
      </c>
      <c r="R16" s="1380" t="s">
        <v>5</v>
      </c>
      <c r="S16" s="1381">
        <f t="shared" si="0"/>
        <v>100</v>
      </c>
      <c r="T16" s="1380" t="s">
        <v>5</v>
      </c>
      <c r="U16" s="1381">
        <f t="shared" si="1"/>
        <v>100</v>
      </c>
      <c r="V16" s="1380" t="s">
        <v>5</v>
      </c>
      <c r="W16" s="1381">
        <f t="shared" si="2"/>
        <v>100</v>
      </c>
      <c r="X16" s="1382"/>
      <c r="Y16" s="3870"/>
      <c r="Z16" s="1048">
        <f t="shared" si="7"/>
        <v>111</v>
      </c>
      <c r="AA16" s="1383">
        <f t="shared" si="3"/>
        <v>1</v>
      </c>
      <c r="AB16" s="1383">
        <f t="shared" si="4"/>
        <v>1</v>
      </c>
      <c r="AC16" s="1383">
        <f t="shared" si="5"/>
        <v>1</v>
      </c>
    </row>
    <row r="17" spans="1:29" ht="57">
      <c r="A17" s="2389" t="s">
        <v>2033</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20" t="s">
        <v>489</v>
      </c>
      <c r="Q17" s="1384" t="str">
        <f t="shared" si="6"/>
        <v>产业集聚程度</v>
      </c>
      <c r="R17" s="1385" t="s">
        <v>5</v>
      </c>
      <c r="S17" s="1386">
        <f t="shared" si="0"/>
        <v>100</v>
      </c>
      <c r="T17" s="1385" t="s">
        <v>5</v>
      </c>
      <c r="U17" s="1386">
        <f t="shared" si="1"/>
        <v>100</v>
      </c>
      <c r="V17" s="1385" t="s">
        <v>5</v>
      </c>
      <c r="W17" s="1386">
        <f t="shared" si="2"/>
        <v>100</v>
      </c>
      <c r="X17" s="1379"/>
      <c r="Y17" s="3920"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21"/>
      <c r="Q18" s="1384"/>
      <c r="R18" s="1385"/>
      <c r="S18" s="1386"/>
      <c r="T18" s="1385"/>
      <c r="U18" s="1386"/>
      <c r="V18" s="1385"/>
      <c r="W18" s="1386"/>
      <c r="X18" s="1379"/>
      <c r="Y18" s="3921"/>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21"/>
      <c r="Q19" s="1384" t="str">
        <f>B19</f>
        <v>交通便捷度</v>
      </c>
      <c r="R19" s="1385" t="s">
        <v>5</v>
      </c>
      <c r="S19" s="1386">
        <f>F19</f>
        <v>100</v>
      </c>
      <c r="T19" s="1385" t="s">
        <v>5</v>
      </c>
      <c r="U19" s="1386">
        <f>H19</f>
        <v>100</v>
      </c>
      <c r="V19" s="1385" t="s">
        <v>5</v>
      </c>
      <c r="W19" s="1386">
        <f>J19</f>
        <v>100</v>
      </c>
      <c r="X19" s="1379"/>
      <c r="Y19" s="3921"/>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921"/>
      <c r="Q20" s="1384"/>
      <c r="R20" s="1385"/>
      <c r="S20" s="1386"/>
      <c r="T20" s="1385"/>
      <c r="U20" s="1386"/>
      <c r="V20" s="1385"/>
      <c r="W20" s="1386"/>
      <c r="X20" s="1379"/>
      <c r="Y20" s="3921"/>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921"/>
      <c r="Q21" s="1384" t="str">
        <f t="shared" ref="Q21:Q35" si="8">B21</f>
        <v>区域土地利用方向</v>
      </c>
      <c r="R21" s="1385" t="s">
        <v>5</v>
      </c>
      <c r="S21" s="1386">
        <f>F21</f>
        <v>100</v>
      </c>
      <c r="T21" s="1385" t="s">
        <v>5</v>
      </c>
      <c r="U21" s="1386">
        <f>H21</f>
        <v>100</v>
      </c>
      <c r="V21" s="1385" t="s">
        <v>5</v>
      </c>
      <c r="W21" s="1386">
        <f>J21</f>
        <v>100</v>
      </c>
      <c r="X21" s="1379"/>
      <c r="Y21" s="3921"/>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21"/>
      <c r="Q22" s="1384"/>
      <c r="R22" s="1385"/>
      <c r="S22" s="1386"/>
      <c r="T22" s="1385"/>
      <c r="U22" s="1386"/>
      <c r="V22" s="1385"/>
      <c r="W22" s="1386"/>
      <c r="X22" s="1379"/>
      <c r="Y22" s="3921"/>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21"/>
      <c r="Q23" s="1384" t="str">
        <f t="shared" si="8"/>
        <v>环境状况</v>
      </c>
      <c r="R23" s="1385" t="s">
        <v>5</v>
      </c>
      <c r="S23" s="1386">
        <f>F23</f>
        <v>100</v>
      </c>
      <c r="T23" s="1385" t="s">
        <v>5</v>
      </c>
      <c r="U23" s="1386">
        <f>H23</f>
        <v>100</v>
      </c>
      <c r="V23" s="1385" t="s">
        <v>5</v>
      </c>
      <c r="W23" s="1386">
        <f>J23</f>
        <v>100</v>
      </c>
      <c r="X23" s="1379"/>
      <c r="Y23" s="3921"/>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21"/>
      <c r="Q24" s="1384"/>
      <c r="R24" s="1385"/>
      <c r="S24" s="1386"/>
      <c r="T24" s="1385"/>
      <c r="U24" s="1386"/>
      <c r="V24" s="1385"/>
      <c r="W24" s="1386"/>
      <c r="X24" s="1379"/>
      <c r="Y24" s="3921"/>
      <c r="Z24" s="1387"/>
      <c r="AA24" s="1388">
        <v>1</v>
      </c>
      <c r="AB24" s="1388">
        <v>1</v>
      </c>
      <c r="AC24" s="1388">
        <v>1</v>
      </c>
    </row>
    <row r="25" spans="1:29" s="1117" customFormat="1" ht="42.75">
      <c r="A25" s="547"/>
      <c r="B25" s="2200" t="s">
        <v>1828</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21"/>
      <c r="Q25" s="1049" t="str">
        <f t="shared" si="8"/>
        <v>公共配套设施</v>
      </c>
      <c r="R25" s="1380" t="s">
        <v>5</v>
      </c>
      <c r="S25" s="1381">
        <f>F25</f>
        <v>100</v>
      </c>
      <c r="T25" s="1380" t="s">
        <v>5</v>
      </c>
      <c r="U25" s="1381">
        <f>H25</f>
        <v>100</v>
      </c>
      <c r="V25" s="1380" t="s">
        <v>5</v>
      </c>
      <c r="W25" s="1381">
        <f>J25</f>
        <v>100</v>
      </c>
      <c r="X25" s="1382"/>
      <c r="Y25" s="3921"/>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21"/>
      <c r="Q26" s="1049"/>
      <c r="R26" s="1380"/>
      <c r="S26" s="1381"/>
      <c r="T26" s="1380"/>
      <c r="U26" s="1381"/>
      <c r="V26" s="1380"/>
      <c r="W26" s="1381"/>
      <c r="X26" s="1382"/>
      <c r="Y26" s="3921"/>
      <c r="Z26" s="1048"/>
      <c r="AA26" s="1383">
        <v>1</v>
      </c>
      <c r="AB26" s="1383">
        <v>1</v>
      </c>
      <c r="AC26" s="1383">
        <v>1</v>
      </c>
    </row>
    <row r="27" spans="1:29" s="1117" customFormat="1" ht="28.5">
      <c r="A27" s="547"/>
      <c r="B27" s="2200" t="s">
        <v>1829</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21"/>
      <c r="Q27" s="2191" t="str">
        <f>B27</f>
        <v>基础设施水平</v>
      </c>
      <c r="R27" s="1380" t="s">
        <v>5</v>
      </c>
      <c r="S27" s="1381">
        <f>F27</f>
        <v>100</v>
      </c>
      <c r="T27" s="1380" t="s">
        <v>5</v>
      </c>
      <c r="U27" s="1381">
        <f>H27</f>
        <v>100</v>
      </c>
      <c r="V27" s="1380" t="s">
        <v>5</v>
      </c>
      <c r="W27" s="1381">
        <f>J27</f>
        <v>100</v>
      </c>
      <c r="X27" s="1382"/>
      <c r="Y27" s="3921"/>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21"/>
      <c r="Q28" s="2191"/>
      <c r="R28" s="1380"/>
      <c r="S28" s="1381"/>
      <c r="T28" s="1380"/>
      <c r="U28" s="1381"/>
      <c r="V28" s="1380"/>
      <c r="W28" s="1381"/>
      <c r="X28" s="1382"/>
      <c r="Y28" s="3921"/>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21"/>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21"/>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21"/>
      <c r="Q30" s="1384" t="str">
        <f t="shared" si="8"/>
        <v>毗邻道路的类型与等级</v>
      </c>
      <c r="R30" s="1385" t="s">
        <v>5</v>
      </c>
      <c r="S30" s="1386">
        <f t="shared" si="9"/>
        <v>100</v>
      </c>
      <c r="T30" s="1385" t="s">
        <v>5</v>
      </c>
      <c r="U30" s="1386">
        <f t="shared" si="10"/>
        <v>100</v>
      </c>
      <c r="V30" s="1385" t="s">
        <v>5</v>
      </c>
      <c r="W30" s="1386">
        <f t="shared" si="11"/>
        <v>100</v>
      </c>
      <c r="X30" s="1379"/>
      <c r="Y30" s="3921"/>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21"/>
      <c r="Q31" s="1384"/>
      <c r="R31" s="1385"/>
      <c r="S31" s="1386"/>
      <c r="T31" s="1385"/>
      <c r="U31" s="1386"/>
      <c r="V31" s="1385"/>
      <c r="W31" s="1386"/>
      <c r="X31" s="1379"/>
      <c r="Y31" s="3921"/>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21"/>
      <c r="Q32" s="1384" t="str">
        <f t="shared" si="8"/>
        <v>土地级别</v>
      </c>
      <c r="R32" s="1385" t="s">
        <v>5</v>
      </c>
      <c r="S32" s="1386">
        <f t="shared" si="9"/>
        <v>100</v>
      </c>
      <c r="T32" s="1385" t="s">
        <v>5</v>
      </c>
      <c r="U32" s="1386">
        <f t="shared" si="10"/>
        <v>100</v>
      </c>
      <c r="V32" s="1385" t="s">
        <v>5</v>
      </c>
      <c r="W32" s="1386">
        <f t="shared" si="11"/>
        <v>100</v>
      </c>
      <c r="X32" s="1379"/>
      <c r="Y32" s="3921"/>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21"/>
      <c r="Q33" s="1384">
        <f t="shared" si="8"/>
        <v>111</v>
      </c>
      <c r="R33" s="1385" t="s">
        <v>5</v>
      </c>
      <c r="S33" s="1386">
        <f t="shared" si="9"/>
        <v>100</v>
      </c>
      <c r="T33" s="1385" t="s">
        <v>5</v>
      </c>
      <c r="U33" s="1386">
        <f t="shared" si="10"/>
        <v>100</v>
      </c>
      <c r="V33" s="1385" t="s">
        <v>5</v>
      </c>
      <c r="W33" s="1386">
        <f t="shared" si="11"/>
        <v>100</v>
      </c>
      <c r="X33" s="1379"/>
      <c r="Y33" s="3921"/>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22" t="s">
        <v>499</v>
      </c>
      <c r="Q34" s="1384">
        <f t="shared" si="8"/>
        <v>111</v>
      </c>
      <c r="R34" s="1385" t="s">
        <v>5</v>
      </c>
      <c r="S34" s="1386">
        <f t="shared" si="9"/>
        <v>100</v>
      </c>
      <c r="T34" s="1385" t="s">
        <v>5</v>
      </c>
      <c r="U34" s="1386">
        <f t="shared" si="10"/>
        <v>100</v>
      </c>
      <c r="V34" s="1385" t="s">
        <v>5</v>
      </c>
      <c r="W34" s="1386">
        <f t="shared" si="11"/>
        <v>100</v>
      </c>
      <c r="X34" s="1379"/>
      <c r="Y34" s="3923"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23"/>
      <c r="Q35" s="1384">
        <f t="shared" si="8"/>
        <v>111</v>
      </c>
      <c r="R35" s="1389" t="s">
        <v>5</v>
      </c>
      <c r="S35" s="1390">
        <f t="shared" si="9"/>
        <v>100</v>
      </c>
      <c r="T35" s="1389" t="s">
        <v>5</v>
      </c>
      <c r="U35" s="1390">
        <f t="shared" si="10"/>
        <v>100</v>
      </c>
      <c r="V35" s="1389" t="s">
        <v>5</v>
      </c>
      <c r="W35" s="1390">
        <f t="shared" si="11"/>
        <v>100</v>
      </c>
      <c r="X35" s="1391"/>
      <c r="Y35" s="3923"/>
      <c r="Z35" s="1392">
        <f t="shared" si="12"/>
        <v>111</v>
      </c>
      <c r="AA35" s="1388">
        <f t="shared" si="3"/>
        <v>1</v>
      </c>
      <c r="AB35" s="1388">
        <f t="shared" si="4"/>
        <v>1</v>
      </c>
      <c r="AC35" s="1388">
        <f t="shared" si="5"/>
        <v>1</v>
      </c>
    </row>
    <row r="36" spans="1:29" ht="15">
      <c r="A36" s="2386" t="s">
        <v>2034</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23"/>
      <c r="Q36" s="1384" t="str">
        <f>B36</f>
        <v>宗地面积</v>
      </c>
      <c r="R36" s="1385" t="s">
        <v>5</v>
      </c>
      <c r="S36" s="1386" t="e">
        <f t="shared" si="9"/>
        <v>#N/A</v>
      </c>
      <c r="T36" s="1385" t="s">
        <v>5</v>
      </c>
      <c r="U36" s="1386" t="e">
        <f t="shared" si="10"/>
        <v>#N/A</v>
      </c>
      <c r="V36" s="1385" t="s">
        <v>5</v>
      </c>
      <c r="W36" s="1386" t="e">
        <f t="shared" si="11"/>
        <v>#N/A</v>
      </c>
      <c r="X36" s="1379"/>
      <c r="Y36" s="3923"/>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23"/>
      <c r="Q37" s="1384" t="str">
        <f t="shared" ref="Q37:Q42" si="13">B37</f>
        <v>宗地形状</v>
      </c>
      <c r="R37" s="1385" t="s">
        <v>5</v>
      </c>
      <c r="S37" s="1386">
        <f t="shared" si="9"/>
        <v>100</v>
      </c>
      <c r="T37" s="1385" t="s">
        <v>5</v>
      </c>
      <c r="U37" s="1386">
        <f t="shared" si="10"/>
        <v>100</v>
      </c>
      <c r="V37" s="1385" t="s">
        <v>5</v>
      </c>
      <c r="W37" s="1386">
        <f t="shared" si="11"/>
        <v>100</v>
      </c>
      <c r="X37" s="1379"/>
      <c r="Y37" s="3923"/>
      <c r="Z37" s="1387" t="str">
        <f t="shared" si="12"/>
        <v>宗地形状</v>
      </c>
      <c r="AA37" s="1388">
        <f t="shared" si="3"/>
        <v>1</v>
      </c>
      <c r="AB37" s="1388">
        <f t="shared" si="4"/>
        <v>1</v>
      </c>
      <c r="AC37" s="1388">
        <f t="shared" si="5"/>
        <v>1</v>
      </c>
    </row>
    <row r="38" spans="1:29" s="1117" customFormat="1" ht="15">
      <c r="A38" s="570"/>
      <c r="B38" s="1650" t="s">
        <v>1773</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23"/>
      <c r="Q38" s="1384" t="str">
        <f t="shared" si="13"/>
        <v>宗地开发程度</v>
      </c>
      <c r="R38" s="1380" t="s">
        <v>5</v>
      </c>
      <c r="S38" s="1381">
        <f t="shared" si="9"/>
        <v>100</v>
      </c>
      <c r="T38" s="1380" t="s">
        <v>5</v>
      </c>
      <c r="U38" s="1381">
        <f t="shared" si="10"/>
        <v>100</v>
      </c>
      <c r="V38" s="1380" t="s">
        <v>5</v>
      </c>
      <c r="W38" s="1381">
        <f t="shared" si="11"/>
        <v>100</v>
      </c>
      <c r="X38" s="1382"/>
      <c r="Y38" s="3923"/>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23" t="s">
        <v>549</v>
      </c>
      <c r="Q39" s="1384" t="str">
        <f t="shared" si="13"/>
        <v>工程地质条件</v>
      </c>
      <c r="R39" s="1385" t="s">
        <v>5</v>
      </c>
      <c r="S39" s="1386">
        <f t="shared" si="9"/>
        <v>100</v>
      </c>
      <c r="T39" s="1385" t="s">
        <v>5</v>
      </c>
      <c r="U39" s="1386">
        <f t="shared" si="10"/>
        <v>100</v>
      </c>
      <c r="V39" s="1385" t="s">
        <v>5</v>
      </c>
      <c r="W39" s="1386">
        <f t="shared" si="11"/>
        <v>100</v>
      </c>
      <c r="X39" s="1379"/>
      <c r="Y39" s="3923"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23"/>
      <c r="Q40" s="1384">
        <f t="shared" si="13"/>
        <v>111</v>
      </c>
      <c r="R40" s="1385" t="s">
        <v>5</v>
      </c>
      <c r="S40" s="1386">
        <f t="shared" si="9"/>
        <v>100</v>
      </c>
      <c r="T40" s="1385" t="s">
        <v>5</v>
      </c>
      <c r="U40" s="1386">
        <f t="shared" si="10"/>
        <v>100</v>
      </c>
      <c r="V40" s="1385" t="s">
        <v>5</v>
      </c>
      <c r="W40" s="1386">
        <f t="shared" si="11"/>
        <v>100</v>
      </c>
      <c r="X40" s="1379"/>
      <c r="Y40" s="3923"/>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23"/>
      <c r="Q41" s="1384">
        <f t="shared" si="13"/>
        <v>111</v>
      </c>
      <c r="R41" s="1385" t="s">
        <v>5</v>
      </c>
      <c r="S41" s="1386">
        <f t="shared" si="9"/>
        <v>100</v>
      </c>
      <c r="T41" s="1385" t="s">
        <v>5</v>
      </c>
      <c r="U41" s="1386">
        <f t="shared" si="10"/>
        <v>100</v>
      </c>
      <c r="V41" s="1385" t="s">
        <v>5</v>
      </c>
      <c r="W41" s="1386">
        <f t="shared" si="11"/>
        <v>100</v>
      </c>
      <c r="X41" s="1379"/>
      <c r="Y41" s="3923"/>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23"/>
      <c r="Q42" s="1384">
        <f t="shared" si="13"/>
        <v>111</v>
      </c>
      <c r="R42" s="1389" t="s">
        <v>5</v>
      </c>
      <c r="S42" s="1390">
        <f t="shared" si="9"/>
        <v>100</v>
      </c>
      <c r="T42" s="1389" t="s">
        <v>5</v>
      </c>
      <c r="U42" s="1390">
        <f t="shared" si="10"/>
        <v>100</v>
      </c>
      <c r="V42" s="1389" t="s">
        <v>5</v>
      </c>
      <c r="W42" s="1390">
        <f t="shared" si="11"/>
        <v>100</v>
      </c>
      <c r="X42" s="1391"/>
      <c r="Y42" s="3923"/>
      <c r="Z42" s="1392">
        <f t="shared" si="12"/>
        <v>111</v>
      </c>
      <c r="AA42" s="1388">
        <f t="shared" si="3"/>
        <v>1</v>
      </c>
      <c r="AB42" s="1388">
        <f t="shared" si="4"/>
        <v>1</v>
      </c>
      <c r="AC42" s="1388">
        <f t="shared" si="5"/>
        <v>1</v>
      </c>
    </row>
    <row r="43" spans="1:29" ht="15">
      <c r="A43" s="577" t="s">
        <v>505</v>
      </c>
      <c r="B43" s="578" t="s">
        <v>2189</v>
      </c>
      <c r="C43" s="579" t="s">
        <v>0</v>
      </c>
      <c r="D43" s="580"/>
      <c r="E43" s="581"/>
      <c r="F43" s="582"/>
      <c r="G43" s="583"/>
      <c r="H43" s="584"/>
      <c r="I43" s="581"/>
      <c r="J43" s="584"/>
      <c r="K43" s="1200"/>
      <c r="L43" s="1866"/>
      <c r="M43" s="1856"/>
      <c r="N43" s="1856"/>
      <c r="O43" s="1867"/>
      <c r="P43" s="3918" t="str">
        <f>A43</f>
        <v>成交单价</v>
      </c>
      <c r="Q43" s="3918"/>
      <c r="R43" s="3934">
        <f>E43</f>
        <v>0</v>
      </c>
      <c r="S43" s="3934"/>
      <c r="T43" s="3934">
        <f>G43</f>
        <v>0</v>
      </c>
      <c r="U43" s="3934"/>
      <c r="V43" s="3934">
        <f>I43</f>
        <v>0</v>
      </c>
      <c r="W43" s="3934"/>
      <c r="X43" s="1374"/>
      <c r="Y43" s="1393"/>
      <c r="Z43" s="1374"/>
      <c r="AA43" s="1374"/>
      <c r="AB43" s="1374"/>
      <c r="AC43" s="1374"/>
    </row>
    <row r="44" spans="1:29" ht="15.75" thickBot="1">
      <c r="A44" s="585" t="s">
        <v>1972</v>
      </c>
      <c r="B44" s="586"/>
      <c r="C44" s="587" t="e">
        <f>R45</f>
        <v>#DIV/0!</v>
      </c>
      <c r="D44" s="2756" t="s">
        <v>2253</v>
      </c>
      <c r="E44" s="587" t="e">
        <f>R44</f>
        <v>#DIV/0!</v>
      </c>
      <c r="F44" s="2757"/>
      <c r="G44" s="588" t="e">
        <f>T44</f>
        <v>#DIV/0!</v>
      </c>
      <c r="H44" s="2757"/>
      <c r="I44" s="587" t="e">
        <f>V44</f>
        <v>#DIV/0!</v>
      </c>
      <c r="J44" s="2757"/>
      <c r="K44" s="2758">
        <f>F44+H44+J44</f>
        <v>0</v>
      </c>
      <c r="L44" s="1866"/>
      <c r="M44" s="1856"/>
      <c r="N44" s="1856"/>
      <c r="O44" s="1867"/>
      <c r="P44" s="3918" t="str">
        <f>A44</f>
        <v>比较价格（元/平方米）</v>
      </c>
      <c r="Q44" s="3918"/>
      <c r="R44" s="3942" t="e">
        <f>ROUND(PRODUCT(R43,AA9:AA42),0)</f>
        <v>#DIV/0!</v>
      </c>
      <c r="S44" s="3942"/>
      <c r="T44" s="3942" t="e">
        <f>ROUND(PRODUCT(T43,AB9:AB42),0)</f>
        <v>#DIV/0!</v>
      </c>
      <c r="U44" s="3942"/>
      <c r="V44" s="3942" t="e">
        <f>ROUND(PRODUCT(V43,AC9:AC42),0)</f>
        <v>#DIV/0!</v>
      </c>
      <c r="W44" s="3942"/>
      <c r="X44" s="1374"/>
      <c r="Y44" s="1374"/>
      <c r="Z44" s="1374"/>
      <c r="AA44" s="1374"/>
      <c r="AB44" s="1374"/>
      <c r="AC44" s="1374"/>
    </row>
    <row r="45" spans="1:29" ht="15.75" thickBot="1">
      <c r="A45" s="589" t="s">
        <v>2190</v>
      </c>
      <c r="B45" s="590"/>
      <c r="C45" s="591" t="e">
        <f>R45</f>
        <v>#DIV/0!</v>
      </c>
      <c r="D45" s="591"/>
      <c r="E45" s="591"/>
      <c r="F45" s="591"/>
      <c r="G45" s="591"/>
      <c r="H45" s="591"/>
      <c r="I45" s="591"/>
      <c r="J45" s="591"/>
      <c r="K45" s="1201"/>
      <c r="L45" s="1866"/>
      <c r="M45" s="1856"/>
      <c r="N45" s="1856"/>
      <c r="O45" s="1867"/>
      <c r="P45" s="3924" t="str">
        <f>A45</f>
        <v>估价对象XX用房的比较价格（楼面单价，元/平方米）</v>
      </c>
      <c r="Q45" s="3925"/>
      <c r="R45" s="3951" t="e">
        <f>ROUND(IF(D44="简单平均",AVERAGE(R44:W44),R44*F44+T44*H44+V44*J44),0)</f>
        <v>#DIV/0!</v>
      </c>
      <c r="S45" s="3951"/>
      <c r="T45" s="3951"/>
      <c r="U45" s="3951"/>
      <c r="V45" s="3951"/>
      <c r="W45" s="3951"/>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1649</v>
      </c>
      <c r="E52" s="599" t="s">
        <v>511</v>
      </c>
      <c r="F52" s="1706" t="s">
        <v>512</v>
      </c>
      <c r="G52" s="3947" t="s">
        <v>1641</v>
      </c>
      <c r="H52" s="3948"/>
      <c r="I52" s="1707" t="s">
        <v>1465</v>
      </c>
      <c r="J52" s="1371" t="str">
        <f>项目基本情况!F41</f>
        <v>海南省</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92978.39</v>
      </c>
      <c r="F53" s="1705" t="e">
        <f t="shared" ref="F53:F61" si="14">ROUND(B53*E53/10000,0)</f>
        <v>#DIV/0!</v>
      </c>
      <c r="G53" s="3949"/>
      <c r="H53" s="3950"/>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v>
      </c>
      <c r="D54" s="1947">
        <v>0.25</v>
      </c>
      <c r="E54" s="607"/>
      <c r="F54" s="1705" t="e">
        <f t="shared" si="14"/>
        <v>#DIV/0!</v>
      </c>
      <c r="G54" s="3277" t="s">
        <v>1642</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1682</v>
      </c>
      <c r="B57" s="606" t="e">
        <f t="shared" si="16"/>
        <v>#DIV/0!</v>
      </c>
      <c r="C57" s="365">
        <f t="shared" si="15"/>
        <v>0</v>
      </c>
      <c r="D57" s="1947">
        <v>0.25</v>
      </c>
      <c r="E57" s="609">
        <f>'数据-汇总表'!E11</f>
        <v>0</v>
      </c>
      <c r="F57" s="1705" t="e">
        <f t="shared" si="14"/>
        <v>#DIV/0!</v>
      </c>
      <c r="G57" s="1711" t="s">
        <v>1643</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v>
      </c>
      <c r="D60" s="1947">
        <v>0.25</v>
      </c>
      <c r="E60" s="609">
        <f>'数据-汇总表'!E14</f>
        <v>0</v>
      </c>
      <c r="F60" s="1705" t="e">
        <f t="shared" si="14"/>
        <v>#DIV/0!</v>
      </c>
      <c r="G60" s="1711" t="s">
        <v>1642</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v>
      </c>
      <c r="D61" s="1947">
        <v>0.25</v>
      </c>
      <c r="E61" s="609">
        <f>'数据-汇总表'!E15</f>
        <v>0</v>
      </c>
      <c r="F61" s="1705" t="e">
        <f t="shared" si="14"/>
        <v>#DIV/0!</v>
      </c>
      <c r="G61" s="1712" t="s">
        <v>1643</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1650</v>
      </c>
      <c r="E62" s="611">
        <f>IF(B43="楼面地价",SUM(E53:E61),'数据-汇总表'!D3)</f>
        <v>39137.980000000003</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2023-4-1</v>
      </c>
      <c r="D64" s="2278">
        <f>EDATE(C64,-3)</f>
        <v>44927</v>
      </c>
      <c r="E64" s="2278">
        <f t="shared" ref="E64:N64" si="17">EDATE(D64,-3)</f>
        <v>44835</v>
      </c>
      <c r="F64" s="2278">
        <f t="shared" si="17"/>
        <v>44743</v>
      </c>
      <c r="G64" s="2278">
        <f t="shared" si="17"/>
        <v>44652</v>
      </c>
      <c r="H64" s="2278">
        <f t="shared" si="17"/>
        <v>44562</v>
      </c>
      <c r="I64" s="2278">
        <f t="shared" si="17"/>
        <v>44470</v>
      </c>
      <c r="J64" s="2278">
        <f t="shared" si="17"/>
        <v>44378</v>
      </c>
      <c r="K64" s="2278">
        <f t="shared" si="17"/>
        <v>44287</v>
      </c>
      <c r="L64" s="2278">
        <f t="shared" si="17"/>
        <v>44197</v>
      </c>
      <c r="M64" s="2278">
        <f t="shared" si="17"/>
        <v>44105</v>
      </c>
      <c r="N64" s="2278">
        <f t="shared" si="17"/>
        <v>44013</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1813</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1928</v>
      </c>
      <c r="B67" s="465" t="str">
        <f>"北京市平均增长率"&amp;TEXT(基准地价!P28,"0.00%")</f>
        <v>北京市平均增长率0.00%</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1828</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1830</v>
      </c>
      <c r="C94" s="2205" t="s">
        <v>1831</v>
      </c>
      <c r="D94" s="2205" t="s">
        <v>1832</v>
      </c>
      <c r="E94" s="2205" t="s">
        <v>1833</v>
      </c>
      <c r="F94" s="2205" t="s">
        <v>1834</v>
      </c>
      <c r="G94" s="2205" t="s">
        <v>1835</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1774</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1775</v>
      </c>
      <c r="D1" s="1340">
        <f>SUM(D33:D34,D37:D42)</f>
        <v>0</v>
      </c>
      <c r="E1" s="1260" t="s">
        <v>1776</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2040</v>
      </c>
      <c r="S1" s="2414" t="s">
        <v>2041</v>
      </c>
      <c r="T1" s="2414" t="s">
        <v>2058</v>
      </c>
      <c r="U1" s="2414" t="s">
        <v>2059</v>
      </c>
      <c r="V1" s="2414" t="s">
        <v>2060</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1597</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1598</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4"/>
      <c r="L4" s="1640" t="s">
        <v>1599</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5"/>
      <c r="L5" s="1640" t="s">
        <v>1600</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1601</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3189</v>
      </c>
      <c r="B7" s="1277" t="s">
        <v>860</v>
      </c>
      <c r="C7" s="3525" t="e">
        <f>IF(C8="不临65条商业街",1,ROUND(1+(1.6*E8+1.2*E9+0.8*E10+0.4*E11)*C9,4))</f>
        <v>#DIV/0!</v>
      </c>
      <c r="D7" s="3526" t="s">
        <v>861</v>
      </c>
      <c r="E7" s="3527"/>
      <c r="F7" s="3528"/>
      <c r="G7" s="3528"/>
      <c r="H7" s="3528"/>
      <c r="I7" s="3528"/>
      <c r="J7" s="3529"/>
      <c r="K7" s="2976"/>
      <c r="L7" s="1640" t="s">
        <v>1602</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2043</v>
      </c>
      <c r="X7" s="2406">
        <f>G2</f>
        <v>0</v>
      </c>
      <c r="Y7" s="2406" t="s">
        <v>2044</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1603</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66" t="s">
        <v>2057</v>
      </c>
      <c r="X8" s="3967"/>
      <c r="Y8" s="1634" t="s">
        <v>2045</v>
      </c>
      <c r="Z8" s="1634" t="s">
        <v>2046</v>
      </c>
      <c r="AA8" s="1634" t="s">
        <v>2047</v>
      </c>
      <c r="AB8" s="1634" t="s">
        <v>2048</v>
      </c>
      <c r="AC8" s="1634" t="s">
        <v>2049</v>
      </c>
      <c r="AD8" s="1634" t="s">
        <v>2050</v>
      </c>
      <c r="AE8" s="1634" t="s">
        <v>2051</v>
      </c>
      <c r="AF8" s="1634" t="s">
        <v>2052</v>
      </c>
      <c r="AG8" s="1634" t="s">
        <v>2053</v>
      </c>
      <c r="AH8" s="1634" t="s">
        <v>2054</v>
      </c>
      <c r="AI8" s="1634" t="s">
        <v>2055</v>
      </c>
      <c r="AJ8" s="1634" t="s">
        <v>2056</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1604</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65"/>
      <c r="X9" s="2410" t="s">
        <v>3213</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1605</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65"/>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1606</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3190</v>
      </c>
      <c r="B12" s="3505" t="s">
        <v>3191</v>
      </c>
      <c r="C12" s="3511">
        <v>1.02</v>
      </c>
      <c r="D12" s="3506" t="s">
        <v>3192</v>
      </c>
      <c r="E12" s="3507" t="s">
        <v>3193</v>
      </c>
      <c r="F12" s="3508"/>
      <c r="G12" s="3509"/>
      <c r="H12" s="3509"/>
      <c r="I12" s="3509"/>
      <c r="J12" s="3510"/>
      <c r="K12" s="2976"/>
      <c r="L12" s="1643" t="s">
        <v>1607</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3194</v>
      </c>
      <c r="B13" s="1282" t="s">
        <v>874</v>
      </c>
      <c r="C13" s="3525">
        <f>ROUND(C16*D16*E16*F16*G16*H16*I16*J16,4)</f>
        <v>0</v>
      </c>
      <c r="D13" s="3543" t="s">
        <v>3195</v>
      </c>
      <c r="E13" s="3544"/>
      <c r="F13" s="3544"/>
      <c r="G13" s="3544"/>
      <c r="H13" s="3544"/>
      <c r="I13" s="3544"/>
      <c r="J13" s="3545"/>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3196</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3197</v>
      </c>
      <c r="H15" s="3515"/>
      <c r="I15" s="3516"/>
      <c r="J15" s="3517"/>
      <c r="K15" s="3518"/>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3198</v>
      </c>
      <c r="B17" s="3555" t="s">
        <v>3199</v>
      </c>
      <c r="C17" s="3563">
        <f>ROUND(IF(OR(E2="工业",E2="公共服务"),1,IF(AND(E18=0,E19=0),1,IF(AND(E18=J24,E19=G19),0.8,IF(E19=0,1+E17*(-0.2),1+E17*G17*(-0.2))))),4)</f>
        <v>1</v>
      </c>
      <c r="D17" s="3556" t="s">
        <v>3200</v>
      </c>
      <c r="E17" s="3563" t="e">
        <f>ROUND(G18/I18,2)</f>
        <v>#DIV/0!</v>
      </c>
      <c r="F17" s="3556" t="s">
        <v>3203</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3201</v>
      </c>
      <c r="E18" s="3562"/>
      <c r="F18" s="3559" t="s">
        <v>3204</v>
      </c>
      <c r="G18" s="3561">
        <f>ROUND(1-(1/(POWER(1+G24,E18))),4)</f>
        <v>0</v>
      </c>
      <c r="H18" s="3559" t="s">
        <v>3206</v>
      </c>
      <c r="I18" s="3561">
        <f>ROUND(1-(1/(POWER(1+G24,J24))),4)</f>
        <v>0</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3202</v>
      </c>
      <c r="E19" s="3564"/>
      <c r="F19" s="3560" t="s">
        <v>3205</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59" t="s">
        <v>1370</v>
      </c>
      <c r="B20" s="1277" t="s">
        <v>875</v>
      </c>
      <c r="C20" s="997" t="e">
        <f>ROUND(IF(F21="与级别开发程度一致",0,(G21-E21)/C21),0)</f>
        <v>#DIV/0!</v>
      </c>
      <c r="D20" s="3971" t="s">
        <v>879</v>
      </c>
      <c r="E20" s="3972"/>
      <c r="F20" s="3971" t="s">
        <v>876</v>
      </c>
      <c r="G20" s="3972"/>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60"/>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999">
        <v>44197</v>
      </c>
      <c r="F23" s="1296" t="s">
        <v>883</v>
      </c>
      <c r="G23" s="1000">
        <f>'数据-取费表'!B2</f>
        <v>45034</v>
      </c>
      <c r="H23" s="1297" t="s">
        <v>2239</v>
      </c>
      <c r="I23" s="2265" t="str">
        <f>IF(H23="季度增幅（自定义）",SUMIF(N25:N28,E2,O25:O28),"")</f>
        <v/>
      </c>
      <c r="J23" s="3565"/>
      <c r="K23" s="2975"/>
      <c r="L23" s="2510" t="s">
        <v>2113</v>
      </c>
      <c r="M23" s="2511">
        <f>ROUND(SUMIF(地价!B2:F2,E2,地价!B41:F41),0)</f>
        <v>0</v>
      </c>
      <c r="N23" s="2267" t="s">
        <v>1211</v>
      </c>
      <c r="O23" s="2266">
        <f>ROUNDDOWN(DATEDIF(E23,G23,"M")/3,0)</f>
        <v>9</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2114</v>
      </c>
      <c r="M24" s="2591">
        <f>ROUND(SUMPRODUCT((地价!A4:A41=YEAR(G23)&amp;"-"&amp;ROUNDUP(MONTH(G23)/3,0))*(地价!B2:F2=E2)*(地价!B4:F41)),0)</f>
        <v>0</v>
      </c>
      <c r="N24" s="2270" t="s">
        <v>1924</v>
      </c>
      <c r="O24" s="2268" t="s">
        <v>1923</v>
      </c>
      <c r="P24" s="2269" t="s">
        <v>1929</v>
      </c>
      <c r="Q24" s="2404"/>
      <c r="R24" s="1916"/>
      <c r="S24" s="1916"/>
      <c r="T24" s="1916"/>
      <c r="U24" s="1916"/>
      <c r="V24" s="1916"/>
      <c r="W24" s="1916"/>
      <c r="X24" s="1916"/>
      <c r="Y24" s="1294"/>
      <c r="Z24" s="1294"/>
      <c r="AA24" s="1294"/>
      <c r="AB24" s="1294"/>
      <c r="AC24" s="1294"/>
      <c r="AD24" s="1294"/>
    </row>
    <row r="25" spans="1:40" ht="14.25">
      <c r="A25" s="1446" t="s">
        <v>1366</v>
      </c>
      <c r="B25" s="1302" t="s">
        <v>2271</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3207</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3208</v>
      </c>
      <c r="J26" s="1001" t="str">
        <f>IF(G3&gt;=10,D116,"——")</f>
        <v>——</v>
      </c>
      <c r="K26" s="2981"/>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2"/>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1927</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3235</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7" t="s">
        <v>3210</v>
      </c>
      <c r="G33" s="1326"/>
      <c r="H33" s="1326"/>
      <c r="I33" s="1326"/>
      <c r="J33" s="1327"/>
      <c r="K33" s="2983"/>
      <c r="L33" s="3637" t="s">
        <v>3236</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8" t="s">
        <v>3211</v>
      </c>
      <c r="G34" s="1331"/>
      <c r="H34" s="1331"/>
      <c r="I34" s="1331"/>
      <c r="J34" s="1332"/>
      <c r="K34" s="2976"/>
      <c r="L34" s="3637" t="s">
        <v>3237</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3238</v>
      </c>
      <c r="L36" s="3641">
        <f ca="1">'数据-取费表'!B40</f>
        <v>4.1499999999999995E-2</v>
      </c>
      <c r="M36" s="3642">
        <f ca="1">ROUND($L$36*(1+M31),3)</f>
        <v>5.1999999999999998E-2</v>
      </c>
      <c r="N36" s="3642">
        <f ca="1">ROUND($L$36*(1+N31),3)</f>
        <v>0.05</v>
      </c>
      <c r="O36" s="3642">
        <f ca="1">ROUND($L$36*(1+O31),3)</f>
        <v>4.8000000000000001E-2</v>
      </c>
      <c r="P36" s="3642">
        <f ca="1">ROUND($L$36*(1+P31),3)</f>
        <v>4.5999999999999999E-2</v>
      </c>
      <c r="Q36" s="3642">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63"/>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63"/>
      <c r="K37" s="3640" t="s">
        <v>3239</v>
      </c>
      <c r="L37" s="3641">
        <f ca="1">L36+K38</f>
        <v>4.6499999999999993E-2</v>
      </c>
      <c r="M37" s="3642">
        <f ca="1">ROUND($L$37*(1+M31),3)</f>
        <v>5.8000000000000003E-2</v>
      </c>
      <c r="N37" s="3642">
        <f t="shared" ref="N37:Q37" ca="1" si="3">ROUND($L$37*(1+N31),3)</f>
        <v>5.6000000000000001E-2</v>
      </c>
      <c r="O37" s="3642">
        <f t="shared" ca="1" si="3"/>
        <v>5.2999999999999999E-2</v>
      </c>
      <c r="P37" s="3642">
        <f t="shared" ca="1" si="3"/>
        <v>5.0999999999999997E-2</v>
      </c>
      <c r="Q37" s="3642">
        <f t="shared" ca="1" si="3"/>
        <v>5.2999999999999999E-2</v>
      </c>
      <c r="R37" s="1911"/>
      <c r="S37" s="1911"/>
      <c r="T37" s="1911"/>
      <c r="U37" s="1911"/>
      <c r="V37" s="1911"/>
      <c r="W37" s="1910"/>
      <c r="X37" s="1910"/>
      <c r="Y37" s="1910"/>
      <c r="Z37" s="1910"/>
      <c r="AA37" s="1910"/>
      <c r="AB37" s="1910"/>
      <c r="AC37" s="1911"/>
    </row>
    <row r="38" spans="1:44" ht="12.75">
      <c r="A38" s="3964"/>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64"/>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64"/>
      <c r="B39" s="3569" t="s">
        <v>3212</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64"/>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3240</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2235</v>
      </c>
      <c r="C44" s="804" t="e">
        <f>ROUND(POWER(1+E44,H44-G44)*(POWER(1+E44,G44)-1)/(POWER(1+E44,H44)-1),4)</f>
        <v>#DIV/0!</v>
      </c>
      <c r="D44" s="365" t="s">
        <v>2233</v>
      </c>
      <c r="E44" s="2586">
        <f>G24</f>
        <v>0</v>
      </c>
      <c r="F44" s="365" t="s">
        <v>2234</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1608</v>
      </c>
      <c r="G49" s="3591" t="s">
        <v>936</v>
      </c>
      <c r="H49" s="3593" t="s">
        <v>1769</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24">
      <c r="A50" s="3588" t="s">
        <v>942</v>
      </c>
      <c r="B50" s="3595" t="str">
        <f>估价对象房地状况!C16</f>
        <v>一般</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3214</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2192</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2191</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一般</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六通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1609</v>
      </c>
      <c r="G60" s="3591" t="s">
        <v>936</v>
      </c>
      <c r="H60" s="3593" t="s">
        <v>1769</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24">
      <c r="A61" s="3588" t="s">
        <v>952</v>
      </c>
      <c r="B61" s="3595">
        <f>估价对象房地状况!C17</f>
        <v>0</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14.25">
      <c r="A62" s="3588" t="s">
        <v>943</v>
      </c>
      <c r="B62" s="3589" t="str">
        <f>估价对象房地状况!C18</f>
        <v>一般</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3214</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2193</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2191</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一般</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六通</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1610</v>
      </c>
      <c r="G71" s="3591" t="s">
        <v>936</v>
      </c>
      <c r="H71" s="3593" t="s">
        <v>1769</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24">
      <c r="A72" s="3588" t="s">
        <v>954</v>
      </c>
      <c r="B72" s="3589" t="str">
        <f>估价对象房地状况!C15</f>
        <v>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3214</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一般</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六通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2191</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1611</v>
      </c>
      <c r="G82" s="3591" t="s">
        <v>936</v>
      </c>
      <c r="H82" s="3593" t="s">
        <v>1769</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2191</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3223</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3224</v>
      </c>
      <c r="B92" s="3572"/>
      <c r="C92" s="3572" t="s">
        <v>3229</v>
      </c>
      <c r="D92" s="3572" t="s">
        <v>3216</v>
      </c>
      <c r="E92" s="3629" t="s">
        <v>3217</v>
      </c>
      <c r="F92" s="3628" t="s">
        <v>1608</v>
      </c>
      <c r="G92" s="3591" t="s">
        <v>936</v>
      </c>
      <c r="H92" s="3593" t="s">
        <v>1769</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3225</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3226</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3214</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3218</v>
      </c>
      <c r="B96" s="3576" t="s">
        <v>3219</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3220</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3227</v>
      </c>
      <c r="B98" s="3604" t="s">
        <v>2191</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3228</v>
      </c>
      <c r="B99" s="3589" t="str">
        <f>估价对象房地状况!C21</f>
        <v>一般</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3221</v>
      </c>
      <c r="B100" s="3589" t="str">
        <f>估价对象房地状况!C22</f>
        <v>六通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3222</v>
      </c>
      <c r="B101" s="3595" t="str">
        <f>估价对象房地状况!C20</f>
        <v>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61" t="s">
        <v>1172</v>
      </c>
      <c r="B104" s="3961"/>
      <c r="C104" s="3961"/>
      <c r="D104" s="3961"/>
      <c r="E104" s="3961"/>
      <c r="F104" s="3961"/>
      <c r="G104" s="3961"/>
      <c r="H104" s="3961"/>
      <c r="I104" s="3961"/>
      <c r="J104" s="3961"/>
      <c r="K104" s="2102"/>
      <c r="L104" s="2102"/>
      <c r="M104" s="2102"/>
      <c r="N104" s="2102"/>
    </row>
    <row r="105" spans="1:36">
      <c r="A105" s="3962" t="s">
        <v>1161</v>
      </c>
      <c r="B105" s="3962" t="s">
        <v>1173</v>
      </c>
      <c r="C105" s="1040" t="s">
        <v>1174</v>
      </c>
      <c r="D105" s="1041"/>
      <c r="E105" s="1041"/>
      <c r="F105" s="1041"/>
      <c r="G105" s="1041"/>
      <c r="H105" s="1041"/>
      <c r="I105" s="1041"/>
      <c r="J105" s="1042"/>
      <c r="K105" s="1034"/>
      <c r="L105" s="1034"/>
      <c r="M105" s="1034"/>
      <c r="N105" s="1034"/>
    </row>
    <row r="106" spans="1:36">
      <c r="A106" s="3962"/>
      <c r="B106" s="3962"/>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68" t="s">
        <v>2042</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69"/>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69"/>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69"/>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69"/>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69"/>
      <c r="B112" s="1043" t="s">
        <v>3230</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70"/>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58" t="s">
        <v>1175</v>
      </c>
      <c r="B114" s="3958"/>
      <c r="C114" s="3958"/>
      <c r="D114" s="3958"/>
      <c r="E114" s="3958"/>
      <c r="F114" s="3958"/>
      <c r="G114" s="3958"/>
      <c r="H114" s="3958"/>
      <c r="I114" s="3958"/>
      <c r="J114" s="3958"/>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3231</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3232</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3233</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3234</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3215</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72:H80 H83:H91 H93:H102 H61:H69">
    <cfRule type="cellIs" dxfId="15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2756</v>
      </c>
      <c r="B1" s="1012" t="s">
        <v>990</v>
      </c>
      <c r="C1" s="1012" t="s">
        <v>1031</v>
      </c>
      <c r="D1" s="1012" t="s">
        <v>1145</v>
      </c>
      <c r="E1" s="1012" t="s">
        <v>853</v>
      </c>
      <c r="F1" s="1012" t="s">
        <v>1152</v>
      </c>
      <c r="G1" s="1012" t="s">
        <v>1153</v>
      </c>
      <c r="H1" s="1012" t="s">
        <v>1154</v>
      </c>
      <c r="I1" s="1012" t="s">
        <v>1155</v>
      </c>
      <c r="J1" s="1012" t="s">
        <v>1156</v>
      </c>
      <c r="K1" s="1012" t="s">
        <v>1157</v>
      </c>
      <c r="L1" s="1012" t="s">
        <v>2757</v>
      </c>
      <c r="M1" s="1013" t="s">
        <v>2758</v>
      </c>
    </row>
    <row r="2" spans="1:13">
      <c r="A2" s="3232" t="s">
        <v>2733</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2759</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2731</v>
      </c>
      <c r="B7" s="3246">
        <v>2.5</v>
      </c>
      <c r="C7" s="3246">
        <v>2.5</v>
      </c>
      <c r="D7" s="3246">
        <v>2</v>
      </c>
      <c r="E7" s="3246">
        <v>2</v>
      </c>
      <c r="F7" s="3246">
        <v>2</v>
      </c>
      <c r="G7" s="3246">
        <v>2</v>
      </c>
      <c r="H7" s="3246">
        <v>2</v>
      </c>
      <c r="I7" s="3247">
        <v>1.5</v>
      </c>
      <c r="J7" s="3247">
        <v>1.5</v>
      </c>
      <c r="K7" s="3247">
        <v>1.5</v>
      </c>
      <c r="L7" s="3247">
        <v>1.5</v>
      </c>
      <c r="M7" s="3248">
        <v>1.5</v>
      </c>
    </row>
    <row r="8" spans="1:13">
      <c r="A8" s="1026" t="s">
        <v>2760</v>
      </c>
      <c r="B8" s="3249">
        <v>80</v>
      </c>
      <c r="C8" s="3249">
        <v>80</v>
      </c>
      <c r="D8" s="3249">
        <v>70</v>
      </c>
      <c r="E8" s="3249">
        <v>70</v>
      </c>
      <c r="F8" s="3249">
        <v>70</v>
      </c>
      <c r="G8" s="3249">
        <v>70</v>
      </c>
      <c r="H8" s="3249">
        <v>70</v>
      </c>
      <c r="I8" s="3249">
        <v>60</v>
      </c>
      <c r="J8" s="3249">
        <v>60</v>
      </c>
      <c r="K8" s="3249">
        <v>60</v>
      </c>
      <c r="L8" s="3249">
        <v>60</v>
      </c>
      <c r="M8" s="3250">
        <v>60</v>
      </c>
    </row>
    <row r="9" spans="1:13">
      <c r="A9" s="1008" t="s">
        <v>2761</v>
      </c>
      <c r="B9" s="3251">
        <v>70</v>
      </c>
      <c r="C9" s="3251">
        <v>70</v>
      </c>
      <c r="D9" s="3251">
        <v>60</v>
      </c>
      <c r="E9" s="3251">
        <v>60</v>
      </c>
      <c r="F9" s="3251">
        <v>60</v>
      </c>
      <c r="G9" s="3251">
        <v>60</v>
      </c>
      <c r="H9" s="3251">
        <v>60</v>
      </c>
      <c r="I9" s="3251">
        <v>50</v>
      </c>
      <c r="J9" s="3251">
        <v>50</v>
      </c>
      <c r="K9" s="3251">
        <v>50</v>
      </c>
      <c r="L9" s="3251">
        <v>50</v>
      </c>
      <c r="M9" s="3252">
        <v>50</v>
      </c>
    </row>
    <row r="10" spans="1:13">
      <c r="A10" s="1008" t="s">
        <v>2762</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2763</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2764</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2765</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2766</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2767</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2768</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3" t="s">
        <v>2450</v>
      </c>
      <c r="B19" s="3255" t="s">
        <v>2451</v>
      </c>
      <c r="C19" s="3256" t="s">
        <v>2452</v>
      </c>
      <c r="D19" s="3257"/>
      <c r="E19" s="3251" t="s">
        <v>2453</v>
      </c>
      <c r="F19" s="1032"/>
      <c r="G19" s="1032"/>
    </row>
    <row r="20" spans="1:13" s="1407" customFormat="1">
      <c r="A20" s="3977" t="s">
        <v>2444</v>
      </c>
      <c r="B20" s="3980" t="s">
        <v>2454</v>
      </c>
      <c r="C20" s="3258" t="s">
        <v>2455</v>
      </c>
      <c r="D20" s="3259"/>
      <c r="E20" s="3260">
        <v>1</v>
      </c>
      <c r="F20" s="3261" t="s">
        <v>2456</v>
      </c>
      <c r="G20" s="1034"/>
      <c r="H20" s="1024"/>
      <c r="I20" s="1024"/>
    </row>
    <row r="21" spans="1:13" s="1407" customFormat="1">
      <c r="A21" s="3978"/>
      <c r="B21" s="3976"/>
      <c r="C21" s="3262" t="s">
        <v>2457</v>
      </c>
      <c r="D21" s="3263"/>
      <c r="E21" s="3264">
        <v>1</v>
      </c>
      <c r="F21" s="3261" t="s">
        <v>2458</v>
      </c>
      <c r="G21" s="1034"/>
      <c r="H21" s="1024"/>
      <c r="I21" s="1024"/>
    </row>
    <row r="22" spans="1:13" s="1407" customFormat="1">
      <c r="A22" s="3978"/>
      <c r="B22" s="3976"/>
      <c r="C22" s="3262" t="s">
        <v>2459</v>
      </c>
      <c r="D22" s="3263"/>
      <c r="E22" s="3264">
        <v>0.9</v>
      </c>
      <c r="F22" s="3261" t="s">
        <v>2460</v>
      </c>
      <c r="G22" s="1034"/>
      <c r="H22" s="1024"/>
      <c r="I22" s="1024"/>
    </row>
    <row r="23" spans="1:13" s="1407" customFormat="1">
      <c r="A23" s="3978"/>
      <c r="B23" s="3976"/>
      <c r="C23" s="3262" t="s">
        <v>2461</v>
      </c>
      <c r="D23" s="3263"/>
      <c r="E23" s="3264">
        <v>0.9</v>
      </c>
      <c r="F23" s="3261" t="s">
        <v>2462</v>
      </c>
      <c r="G23" s="1034"/>
      <c r="H23" s="1024"/>
      <c r="I23" s="1024"/>
    </row>
    <row r="24" spans="1:13" s="1407" customFormat="1">
      <c r="A24" s="3978"/>
      <c r="B24" s="3976"/>
      <c r="C24" s="3262" t="s">
        <v>2463</v>
      </c>
      <c r="D24" s="3263"/>
      <c r="E24" s="3264">
        <v>0.8</v>
      </c>
      <c r="F24" s="3261" t="s">
        <v>2464</v>
      </c>
      <c r="G24" s="1034"/>
      <c r="H24" s="1024"/>
      <c r="I24" s="1024"/>
    </row>
    <row r="25" spans="1:13" s="1407" customFormat="1" ht="14.25" thickBot="1">
      <c r="A25" s="3979"/>
      <c r="B25" s="3981"/>
      <c r="C25" s="3265" t="s">
        <v>2465</v>
      </c>
      <c r="D25" s="3266"/>
      <c r="E25" s="3267">
        <v>0.8</v>
      </c>
      <c r="F25" s="3261" t="s">
        <v>2466</v>
      </c>
      <c r="G25" s="1034"/>
      <c r="H25" s="1024"/>
      <c r="I25" s="1024"/>
    </row>
    <row r="26" spans="1:13" s="1407" customFormat="1" ht="14.25" thickBot="1">
      <c r="A26" s="3268" t="s">
        <v>2445</v>
      </c>
      <c r="B26" s="3269" t="s">
        <v>2454</v>
      </c>
      <c r="C26" s="3270" t="s">
        <v>2467</v>
      </c>
      <c r="D26" s="3271"/>
      <c r="E26" s="3272">
        <v>1</v>
      </c>
      <c r="F26" s="3261" t="s">
        <v>2468</v>
      </c>
      <c r="G26" s="1034"/>
      <c r="H26" s="1024"/>
      <c r="I26" s="1024"/>
    </row>
    <row r="27" spans="1:13" s="1407" customFormat="1">
      <c r="A27" s="3982" t="s">
        <v>2449</v>
      </c>
      <c r="B27" s="3980" t="s">
        <v>2449</v>
      </c>
      <c r="C27" s="3258" t="s">
        <v>2469</v>
      </c>
      <c r="D27" s="3259"/>
      <c r="E27" s="3260">
        <v>1</v>
      </c>
      <c r="F27" s="3261" t="s">
        <v>2470</v>
      </c>
      <c r="G27" s="1034"/>
      <c r="H27" s="1024"/>
      <c r="I27" s="1024"/>
    </row>
    <row r="28" spans="1:13" s="1407" customFormat="1">
      <c r="A28" s="3983"/>
      <c r="B28" s="3976"/>
      <c r="C28" s="3262" t="s">
        <v>2471</v>
      </c>
      <c r="D28" s="3263"/>
      <c r="E28" s="3264">
        <v>1</v>
      </c>
      <c r="F28" s="3261" t="s">
        <v>2472</v>
      </c>
      <c r="G28" s="1034"/>
      <c r="H28" s="1024"/>
      <c r="I28" s="1024"/>
    </row>
    <row r="29" spans="1:13" s="1407" customFormat="1">
      <c r="A29" s="3983"/>
      <c r="B29" s="3976"/>
      <c r="C29" s="3262" t="s">
        <v>2473</v>
      </c>
      <c r="D29" s="3263"/>
      <c r="E29" s="3264">
        <v>0.8</v>
      </c>
      <c r="F29" s="3261" t="s">
        <v>2474</v>
      </c>
      <c r="G29" s="1034"/>
      <c r="H29" s="1024"/>
      <c r="I29" s="1024"/>
    </row>
    <row r="30" spans="1:13" s="1407" customFormat="1">
      <c r="A30" s="3983"/>
      <c r="B30" s="3976"/>
      <c r="C30" s="3262" t="s">
        <v>2475</v>
      </c>
      <c r="D30" s="3263"/>
      <c r="E30" s="3264">
        <v>0.8</v>
      </c>
      <c r="F30" s="3261" t="s">
        <v>2476</v>
      </c>
      <c r="G30" s="1034"/>
      <c r="H30" s="1024"/>
      <c r="I30" s="1024"/>
    </row>
    <row r="31" spans="1:13" s="1407" customFormat="1">
      <c r="A31" s="3983"/>
      <c r="B31" s="3976"/>
      <c r="C31" s="3262" t="s">
        <v>2477</v>
      </c>
      <c r="D31" s="3263"/>
      <c r="E31" s="3264">
        <v>0.8</v>
      </c>
      <c r="F31" s="3261" t="s">
        <v>2478</v>
      </c>
      <c r="G31" s="1034"/>
      <c r="H31" s="1024"/>
      <c r="I31" s="1024"/>
    </row>
    <row r="32" spans="1:13" s="1407" customFormat="1">
      <c r="A32" s="3983"/>
      <c r="B32" s="3976"/>
      <c r="C32" s="3262" t="s">
        <v>2479</v>
      </c>
      <c r="D32" s="3263"/>
      <c r="E32" s="3264">
        <v>0.7</v>
      </c>
      <c r="F32" s="3261" t="s">
        <v>2480</v>
      </c>
      <c r="G32" s="1034"/>
      <c r="H32" s="1024"/>
      <c r="I32" s="1024"/>
    </row>
    <row r="33" spans="1:9" s="1407" customFormat="1">
      <c r="A33" s="3983"/>
      <c r="B33" s="3976"/>
      <c r="C33" s="3262" t="s">
        <v>2481</v>
      </c>
      <c r="D33" s="3263"/>
      <c r="E33" s="3264">
        <v>0.8</v>
      </c>
      <c r="F33" s="3261" t="s">
        <v>2482</v>
      </c>
      <c r="G33" s="1034"/>
      <c r="H33" s="1024"/>
      <c r="I33" s="1024"/>
    </row>
    <row r="34" spans="1:9" s="1407" customFormat="1">
      <c r="A34" s="3983"/>
      <c r="B34" s="3976"/>
      <c r="C34" s="3262" t="s">
        <v>2483</v>
      </c>
      <c r="D34" s="3263"/>
      <c r="E34" s="3264">
        <v>0.6</v>
      </c>
      <c r="F34" s="3261" t="s">
        <v>2484</v>
      </c>
      <c r="G34" s="1034"/>
      <c r="H34" s="1024"/>
      <c r="I34" s="1024"/>
    </row>
    <row r="35" spans="1:9" s="1407" customFormat="1">
      <c r="A35" s="3983"/>
      <c r="B35" s="3976"/>
      <c r="C35" s="3262" t="s">
        <v>2485</v>
      </c>
      <c r="D35" s="3263"/>
      <c r="E35" s="3264">
        <v>0.2</v>
      </c>
      <c r="F35" s="3261" t="s">
        <v>2486</v>
      </c>
      <c r="G35" s="1034"/>
      <c r="H35" s="1024"/>
      <c r="I35" s="1024"/>
    </row>
    <row r="36" spans="1:9" s="1407" customFormat="1">
      <c r="A36" s="3983"/>
      <c r="B36" s="3976"/>
      <c r="C36" s="3262" t="s">
        <v>2487</v>
      </c>
      <c r="D36" s="3263"/>
      <c r="E36" s="3264">
        <v>0.2</v>
      </c>
      <c r="F36" s="3261" t="s">
        <v>2488</v>
      </c>
      <c r="G36" s="1034"/>
      <c r="H36" s="1024"/>
      <c r="I36" s="1024"/>
    </row>
    <row r="37" spans="1:9" s="1407" customFormat="1">
      <c r="A37" s="3983"/>
      <c r="B37" s="3974" t="s">
        <v>2489</v>
      </c>
      <c r="C37" s="3262" t="s">
        <v>2490</v>
      </c>
      <c r="D37" s="3263"/>
      <c r="E37" s="3264">
        <v>0.6</v>
      </c>
      <c r="F37" s="3261" t="s">
        <v>2491</v>
      </c>
      <c r="G37" s="1034"/>
      <c r="H37" s="1024"/>
      <c r="I37" s="1024"/>
    </row>
    <row r="38" spans="1:9" s="1407" customFormat="1">
      <c r="A38" s="3983"/>
      <c r="B38" s="3976"/>
      <c r="C38" s="3262" t="s">
        <v>2492</v>
      </c>
      <c r="D38" s="3263"/>
      <c r="E38" s="3264">
        <v>0.6</v>
      </c>
      <c r="F38" s="3261" t="s">
        <v>2493</v>
      </c>
      <c r="G38" s="1034"/>
      <c r="H38" s="1024"/>
      <c r="I38" s="1024"/>
    </row>
    <row r="39" spans="1:9" s="1407" customFormat="1" ht="14.25" thickBot="1">
      <c r="A39" s="3984"/>
      <c r="B39" s="3981"/>
      <c r="C39" s="3265" t="s">
        <v>2494</v>
      </c>
      <c r="D39" s="3266"/>
      <c r="E39" s="3267">
        <v>0.6</v>
      </c>
      <c r="F39" s="3261" t="s">
        <v>2495</v>
      </c>
      <c r="G39" s="1034"/>
      <c r="H39" s="1024"/>
      <c r="I39" s="1024"/>
    </row>
    <row r="40" spans="1:9" s="1407" customFormat="1" ht="14.25" thickBot="1">
      <c r="A40" s="3268" t="s">
        <v>2446</v>
      </c>
      <c r="B40" s="3269" t="s">
        <v>2446</v>
      </c>
      <c r="C40" s="3270" t="s">
        <v>2496</v>
      </c>
      <c r="D40" s="3271"/>
      <c r="E40" s="3272">
        <v>1</v>
      </c>
      <c r="F40" s="3261" t="s">
        <v>2497</v>
      </c>
      <c r="G40" s="1034"/>
      <c r="H40" s="1024"/>
      <c r="I40" s="1024"/>
    </row>
    <row r="41" spans="1:9" s="1407" customFormat="1">
      <c r="A41" s="3977" t="s">
        <v>2447</v>
      </c>
      <c r="B41" s="3980" t="s">
        <v>2498</v>
      </c>
      <c r="C41" s="3258" t="s">
        <v>2499</v>
      </c>
      <c r="D41" s="3259"/>
      <c r="E41" s="3260">
        <v>1</v>
      </c>
      <c r="F41" s="3261" t="s">
        <v>2500</v>
      </c>
      <c r="G41" s="1034"/>
      <c r="H41" s="1024"/>
      <c r="I41" s="1024"/>
    </row>
    <row r="42" spans="1:9" s="1407" customFormat="1">
      <c r="A42" s="3978"/>
      <c r="B42" s="3976"/>
      <c r="C42" s="3262" t="s">
        <v>2501</v>
      </c>
      <c r="D42" s="3263"/>
      <c r="E42" s="3264">
        <v>1</v>
      </c>
      <c r="F42" s="3261" t="s">
        <v>2502</v>
      </c>
      <c r="G42" s="1034"/>
      <c r="H42" s="1024"/>
      <c r="I42" s="1024"/>
    </row>
    <row r="43" spans="1:9" s="1407" customFormat="1">
      <c r="A43" s="3978"/>
      <c r="B43" s="3975"/>
      <c r="C43" s="3262" t="s">
        <v>2503</v>
      </c>
      <c r="D43" s="3263"/>
      <c r="E43" s="3264">
        <v>1.5</v>
      </c>
      <c r="F43" s="3261" t="s">
        <v>2504</v>
      </c>
      <c r="G43" s="1034"/>
      <c r="H43" s="1024"/>
      <c r="I43" s="1024"/>
    </row>
    <row r="44" spans="1:9" s="1407" customFormat="1">
      <c r="A44" s="3978"/>
      <c r="B44" s="3273" t="s">
        <v>2449</v>
      </c>
      <c r="C44" s="3262" t="s">
        <v>2448</v>
      </c>
      <c r="D44" s="3263"/>
      <c r="E44" s="3264">
        <v>2</v>
      </c>
      <c r="F44" s="3261" t="s">
        <v>2505</v>
      </c>
      <c r="G44" s="1034"/>
      <c r="H44" s="1024"/>
      <c r="I44" s="1024"/>
    </row>
    <row r="45" spans="1:9" s="1407" customFormat="1">
      <c r="A45" s="3978"/>
      <c r="B45" s="3974" t="s">
        <v>2506</v>
      </c>
      <c r="C45" s="3262" t="s">
        <v>2507</v>
      </c>
      <c r="D45" s="3263"/>
      <c r="E45" s="3264">
        <v>1</v>
      </c>
      <c r="F45" s="3261" t="s">
        <v>2508</v>
      </c>
      <c r="G45" s="1034"/>
      <c r="H45" s="1024"/>
      <c r="I45" s="1024"/>
    </row>
    <row r="46" spans="1:9" s="1407" customFormat="1">
      <c r="A46" s="3978"/>
      <c r="B46" s="3976"/>
      <c r="C46" s="3262" t="s">
        <v>2509</v>
      </c>
      <c r="D46" s="3263"/>
      <c r="E46" s="3264">
        <v>1</v>
      </c>
      <c r="F46" s="3261" t="s">
        <v>2510</v>
      </c>
      <c r="G46" s="1034"/>
      <c r="H46" s="1024"/>
      <c r="I46" s="1024"/>
    </row>
    <row r="47" spans="1:9" s="1407" customFormat="1">
      <c r="A47" s="3978"/>
      <c r="B47" s="3976"/>
      <c r="C47" s="3262" t="s">
        <v>2511</v>
      </c>
      <c r="D47" s="3263"/>
      <c r="E47" s="3264">
        <v>1</v>
      </c>
      <c r="F47" s="3261" t="s">
        <v>2512</v>
      </c>
      <c r="G47" s="1034"/>
      <c r="H47" s="1024"/>
      <c r="I47" s="1024"/>
    </row>
    <row r="48" spans="1:9" s="1407" customFormat="1">
      <c r="A48" s="3978"/>
      <c r="B48" s="3976"/>
      <c r="C48" s="3262" t="s">
        <v>2513</v>
      </c>
      <c r="D48" s="3263"/>
      <c r="E48" s="3264">
        <v>1</v>
      </c>
      <c r="F48" s="3261" t="s">
        <v>2514</v>
      </c>
      <c r="G48" s="1034"/>
      <c r="H48" s="1024"/>
      <c r="I48" s="1024"/>
    </row>
    <row r="49" spans="1:9" s="1407" customFormat="1">
      <c r="A49" s="3978"/>
      <c r="B49" s="3976"/>
      <c r="C49" s="3262" t="s">
        <v>2515</v>
      </c>
      <c r="D49" s="3263"/>
      <c r="E49" s="3264">
        <v>1</v>
      </c>
      <c r="F49" s="3261" t="s">
        <v>2516</v>
      </c>
      <c r="G49" s="1034"/>
      <c r="H49" s="1024"/>
      <c r="I49" s="1024"/>
    </row>
    <row r="50" spans="1:9" s="1407" customFormat="1">
      <c r="A50" s="3978"/>
      <c r="B50" s="3976"/>
      <c r="C50" s="3262" t="s">
        <v>2517</v>
      </c>
      <c r="D50" s="3263"/>
      <c r="E50" s="3264">
        <v>1</v>
      </c>
      <c r="F50" s="3261" t="s">
        <v>2518</v>
      </c>
      <c r="G50" s="1034"/>
      <c r="H50" s="1024"/>
      <c r="I50" s="1024"/>
    </row>
    <row r="51" spans="1:9" s="1407" customFormat="1" ht="14.25" thickBot="1">
      <c r="A51" s="3979"/>
      <c r="B51" s="3981"/>
      <c r="C51" s="3265" t="s">
        <v>2519</v>
      </c>
      <c r="D51" s="3266"/>
      <c r="E51" s="3267">
        <v>1</v>
      </c>
      <c r="F51" s="3261" t="s">
        <v>2520</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2769</v>
      </c>
      <c r="F56" s="1031" t="s">
        <v>2769</v>
      </c>
      <c r="G56" s="1031" t="s">
        <v>2769</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2521</v>
      </c>
      <c r="D72" s="1052"/>
      <c r="E72" s="1039" t="s">
        <v>1159</v>
      </c>
      <c r="F72" s="1052" t="s">
        <v>1159</v>
      </c>
    </row>
    <row r="73" spans="1:8" s="1024" customFormat="1">
      <c r="A73" s="3273">
        <v>1</v>
      </c>
      <c r="B73" s="3974" t="s">
        <v>2522</v>
      </c>
      <c r="C73" s="3251" t="s">
        <v>2523</v>
      </c>
      <c r="D73" s="3251" t="s">
        <v>2524</v>
      </c>
      <c r="E73" s="3274">
        <v>0.2</v>
      </c>
      <c r="F73" s="3273">
        <v>25</v>
      </c>
      <c r="H73" s="1024">
        <f>SUMIF(C71:C139,基准地价!C8,E71:E139)</f>
        <v>0</v>
      </c>
    </row>
    <row r="74" spans="1:8" s="1024" customFormat="1" ht="24">
      <c r="A74" s="3273">
        <v>2</v>
      </c>
      <c r="B74" s="3976"/>
      <c r="C74" s="3251" t="s">
        <v>2525</v>
      </c>
      <c r="D74" s="3251" t="s">
        <v>2526</v>
      </c>
      <c r="E74" s="3274">
        <v>0.2</v>
      </c>
      <c r="F74" s="3273">
        <v>25</v>
      </c>
    </row>
    <row r="75" spans="1:8" s="1024" customFormat="1" ht="24">
      <c r="A75" s="3273">
        <v>3</v>
      </c>
      <c r="B75" s="3976"/>
      <c r="C75" s="3251" t="s">
        <v>2527</v>
      </c>
      <c r="D75" s="3251" t="s">
        <v>2528</v>
      </c>
      <c r="E75" s="3274">
        <v>0.2</v>
      </c>
      <c r="F75" s="3273">
        <v>25</v>
      </c>
    </row>
    <row r="76" spans="1:8" s="1024" customFormat="1">
      <c r="A76" s="3273">
        <v>4</v>
      </c>
      <c r="B76" s="3976"/>
      <c r="C76" s="3251" t="s">
        <v>2529</v>
      </c>
      <c r="D76" s="3251" t="s">
        <v>2530</v>
      </c>
      <c r="E76" s="3274">
        <v>0.15</v>
      </c>
      <c r="F76" s="3273">
        <v>20</v>
      </c>
    </row>
    <row r="77" spans="1:8" s="1024" customFormat="1" ht="24">
      <c r="A77" s="3273">
        <v>5</v>
      </c>
      <c r="B77" s="3976"/>
      <c r="C77" s="3251" t="s">
        <v>2531</v>
      </c>
      <c r="D77" s="3251" t="s">
        <v>2532</v>
      </c>
      <c r="E77" s="3274">
        <v>0.15</v>
      </c>
      <c r="F77" s="3273">
        <v>20</v>
      </c>
    </row>
    <row r="78" spans="1:8" s="1024" customFormat="1" ht="24">
      <c r="A78" s="3273">
        <v>6</v>
      </c>
      <c r="B78" s="3976"/>
      <c r="C78" s="3251" t="s">
        <v>2533</v>
      </c>
      <c r="D78" s="3251" t="s">
        <v>2534</v>
      </c>
      <c r="E78" s="3274">
        <v>0.15</v>
      </c>
      <c r="F78" s="3273">
        <v>20</v>
      </c>
    </row>
    <row r="79" spans="1:8" s="1024" customFormat="1" ht="24">
      <c r="A79" s="3273">
        <v>7</v>
      </c>
      <c r="B79" s="3976"/>
      <c r="C79" s="3251" t="s">
        <v>2535</v>
      </c>
      <c r="D79" s="3251" t="s">
        <v>2536</v>
      </c>
      <c r="E79" s="3274">
        <v>0.15</v>
      </c>
      <c r="F79" s="3273">
        <v>20</v>
      </c>
    </row>
    <row r="80" spans="1:8" s="1024" customFormat="1" ht="24">
      <c r="A80" s="3273">
        <v>8</v>
      </c>
      <c r="B80" s="3976"/>
      <c r="C80" s="3251" t="s">
        <v>2537</v>
      </c>
      <c r="D80" s="3251" t="s">
        <v>2538</v>
      </c>
      <c r="E80" s="3274">
        <v>0.1</v>
      </c>
      <c r="F80" s="3273">
        <v>15</v>
      </c>
    </row>
    <row r="81" spans="1:6" s="1024" customFormat="1" ht="24">
      <c r="A81" s="3273">
        <v>9</v>
      </c>
      <c r="B81" s="3976"/>
      <c r="C81" s="3251" t="s">
        <v>2539</v>
      </c>
      <c r="D81" s="3251" t="s">
        <v>2540</v>
      </c>
      <c r="E81" s="3274">
        <v>0.1</v>
      </c>
      <c r="F81" s="3273">
        <v>15</v>
      </c>
    </row>
    <row r="82" spans="1:6" s="1024" customFormat="1" ht="24">
      <c r="A82" s="3273">
        <v>10</v>
      </c>
      <c r="B82" s="3976"/>
      <c r="C82" s="3251" t="s">
        <v>2541</v>
      </c>
      <c r="D82" s="3251" t="s">
        <v>2542</v>
      </c>
      <c r="E82" s="3274">
        <v>0.1</v>
      </c>
      <c r="F82" s="3273">
        <v>15</v>
      </c>
    </row>
    <row r="83" spans="1:6" s="1024" customFormat="1" ht="24">
      <c r="A83" s="3273">
        <v>11</v>
      </c>
      <c r="B83" s="3976"/>
      <c r="C83" s="3251" t="s">
        <v>2543</v>
      </c>
      <c r="D83" s="3251" t="s">
        <v>2544</v>
      </c>
      <c r="E83" s="3274">
        <v>0.1</v>
      </c>
      <c r="F83" s="3273">
        <v>15</v>
      </c>
    </row>
    <row r="84" spans="1:6" s="1024" customFormat="1" ht="24">
      <c r="A84" s="3273">
        <v>12</v>
      </c>
      <c r="B84" s="3976"/>
      <c r="C84" s="3251" t="s">
        <v>2545</v>
      </c>
      <c r="D84" s="3251" t="s">
        <v>2546</v>
      </c>
      <c r="E84" s="3274">
        <v>0.1</v>
      </c>
      <c r="F84" s="3273">
        <v>15</v>
      </c>
    </row>
    <row r="85" spans="1:6" s="1024" customFormat="1">
      <c r="A85" s="3273">
        <v>13</v>
      </c>
      <c r="B85" s="3976"/>
      <c r="C85" s="3251" t="s">
        <v>2547</v>
      </c>
      <c r="D85" s="3251" t="s">
        <v>2548</v>
      </c>
      <c r="E85" s="3274">
        <v>0.1</v>
      </c>
      <c r="F85" s="3273">
        <v>15</v>
      </c>
    </row>
    <row r="86" spans="1:6" s="1024" customFormat="1">
      <c r="A86" s="3273">
        <v>14</v>
      </c>
      <c r="B86" s="3976"/>
      <c r="C86" s="3251" t="s">
        <v>2549</v>
      </c>
      <c r="D86" s="3251" t="s">
        <v>2550</v>
      </c>
      <c r="E86" s="3274">
        <v>0.1</v>
      </c>
      <c r="F86" s="3273">
        <v>15</v>
      </c>
    </row>
    <row r="87" spans="1:6" s="1024" customFormat="1">
      <c r="A87" s="3273">
        <v>15</v>
      </c>
      <c r="B87" s="3976"/>
      <c r="C87" s="3251" t="s">
        <v>2551</v>
      </c>
      <c r="D87" s="3251" t="s">
        <v>2552</v>
      </c>
      <c r="E87" s="3274">
        <v>0.1</v>
      </c>
      <c r="F87" s="3273">
        <v>15</v>
      </c>
    </row>
    <row r="88" spans="1:6" s="1024" customFormat="1" ht="24">
      <c r="A88" s="3273">
        <v>16</v>
      </c>
      <c r="B88" s="3976"/>
      <c r="C88" s="3251" t="s">
        <v>2553</v>
      </c>
      <c r="D88" s="3251" t="s">
        <v>2554</v>
      </c>
      <c r="E88" s="3274">
        <v>0.1</v>
      </c>
      <c r="F88" s="3273">
        <v>15</v>
      </c>
    </row>
    <row r="89" spans="1:6" s="1024" customFormat="1" ht="24">
      <c r="A89" s="3273">
        <v>17</v>
      </c>
      <c r="B89" s="3975"/>
      <c r="C89" s="3251" t="s">
        <v>2555</v>
      </c>
      <c r="D89" s="3251" t="s">
        <v>2556</v>
      </c>
      <c r="E89" s="3274">
        <v>0.1</v>
      </c>
      <c r="F89" s="3273">
        <v>15</v>
      </c>
    </row>
    <row r="90" spans="1:6" s="1024" customFormat="1">
      <c r="A90" s="3273">
        <v>18</v>
      </c>
      <c r="B90" s="3974" t="s">
        <v>2557</v>
      </c>
      <c r="C90" s="3251" t="s">
        <v>2558</v>
      </c>
      <c r="D90" s="3251" t="s">
        <v>2559</v>
      </c>
      <c r="E90" s="3274">
        <v>0.2</v>
      </c>
      <c r="F90" s="3273">
        <v>25</v>
      </c>
    </row>
    <row r="91" spans="1:6" s="1024" customFormat="1" ht="24">
      <c r="A91" s="3273">
        <v>19</v>
      </c>
      <c r="B91" s="3976"/>
      <c r="C91" s="3251" t="s">
        <v>2560</v>
      </c>
      <c r="D91" s="3251" t="s">
        <v>2561</v>
      </c>
      <c r="E91" s="3274">
        <v>0.2</v>
      </c>
      <c r="F91" s="3273">
        <v>25</v>
      </c>
    </row>
    <row r="92" spans="1:6" s="1024" customFormat="1">
      <c r="A92" s="3273">
        <v>20</v>
      </c>
      <c r="B92" s="3976"/>
      <c r="C92" s="3251" t="s">
        <v>2562</v>
      </c>
      <c r="D92" s="3251" t="s">
        <v>2563</v>
      </c>
      <c r="E92" s="3274">
        <v>0.15</v>
      </c>
      <c r="F92" s="3273">
        <v>20</v>
      </c>
    </row>
    <row r="93" spans="1:6" s="1024" customFormat="1" ht="24">
      <c r="A93" s="3273">
        <v>21</v>
      </c>
      <c r="B93" s="3976"/>
      <c r="C93" s="3251" t="s">
        <v>2564</v>
      </c>
      <c r="D93" s="3251" t="s">
        <v>2565</v>
      </c>
      <c r="E93" s="3274">
        <v>0.15</v>
      </c>
      <c r="F93" s="3273">
        <v>20</v>
      </c>
    </row>
    <row r="94" spans="1:6" s="1024" customFormat="1" ht="24">
      <c r="A94" s="3273">
        <v>22</v>
      </c>
      <c r="B94" s="3976"/>
      <c r="C94" s="3251" t="s">
        <v>2566</v>
      </c>
      <c r="D94" s="3251" t="s">
        <v>2567</v>
      </c>
      <c r="E94" s="3274">
        <v>0.15</v>
      </c>
      <c r="F94" s="3273">
        <v>20</v>
      </c>
    </row>
    <row r="95" spans="1:6" s="1024" customFormat="1" ht="36">
      <c r="A95" s="3273">
        <v>23</v>
      </c>
      <c r="B95" s="3976"/>
      <c r="C95" s="3251" t="s">
        <v>2568</v>
      </c>
      <c r="D95" s="3251" t="s">
        <v>2569</v>
      </c>
      <c r="E95" s="3274">
        <v>0.15</v>
      </c>
      <c r="F95" s="3273">
        <v>20</v>
      </c>
    </row>
    <row r="96" spans="1:6" s="1024" customFormat="1">
      <c r="A96" s="3273">
        <v>24</v>
      </c>
      <c r="B96" s="3976"/>
      <c r="C96" s="3251" t="s">
        <v>2570</v>
      </c>
      <c r="D96" s="3251" t="s">
        <v>2571</v>
      </c>
      <c r="E96" s="3274">
        <v>0.1</v>
      </c>
      <c r="F96" s="3273">
        <v>15</v>
      </c>
    </row>
    <row r="97" spans="1:6" s="1024" customFormat="1" ht="24">
      <c r="A97" s="3273">
        <v>25</v>
      </c>
      <c r="B97" s="3976"/>
      <c r="C97" s="3251" t="s">
        <v>2572</v>
      </c>
      <c r="D97" s="3251" t="s">
        <v>2573</v>
      </c>
      <c r="E97" s="3274">
        <v>0.1</v>
      </c>
      <c r="F97" s="3273">
        <v>15</v>
      </c>
    </row>
    <row r="98" spans="1:6" s="1024" customFormat="1" ht="24">
      <c r="A98" s="3273">
        <v>26</v>
      </c>
      <c r="B98" s="3976"/>
      <c r="C98" s="3251" t="s">
        <v>2574</v>
      </c>
      <c r="D98" s="3251" t="s">
        <v>2575</v>
      </c>
      <c r="E98" s="3274">
        <v>0.1</v>
      </c>
      <c r="F98" s="3273">
        <v>15</v>
      </c>
    </row>
    <row r="99" spans="1:6" s="1024" customFormat="1" ht="24">
      <c r="A99" s="3273">
        <v>27</v>
      </c>
      <c r="B99" s="3976"/>
      <c r="C99" s="3251" t="s">
        <v>2576</v>
      </c>
      <c r="D99" s="3251" t="s">
        <v>2577</v>
      </c>
      <c r="E99" s="3274">
        <v>0.1</v>
      </c>
      <c r="F99" s="3273">
        <v>15</v>
      </c>
    </row>
    <row r="100" spans="1:6" s="1024" customFormat="1" ht="24">
      <c r="A100" s="3273">
        <v>28</v>
      </c>
      <c r="B100" s="3976"/>
      <c r="C100" s="3251" t="s">
        <v>2578</v>
      </c>
      <c r="D100" s="3251" t="s">
        <v>2579</v>
      </c>
      <c r="E100" s="3274">
        <v>0.1</v>
      </c>
      <c r="F100" s="3273">
        <v>15</v>
      </c>
    </row>
    <row r="101" spans="1:6" s="1024" customFormat="1" ht="24">
      <c r="A101" s="3273">
        <v>29</v>
      </c>
      <c r="B101" s="3976"/>
      <c r="C101" s="3251" t="s">
        <v>2580</v>
      </c>
      <c r="D101" s="3251" t="s">
        <v>2581</v>
      </c>
      <c r="E101" s="3274">
        <v>0.1</v>
      </c>
      <c r="F101" s="3273">
        <v>15</v>
      </c>
    </row>
    <row r="102" spans="1:6" s="1024" customFormat="1" ht="24">
      <c r="A102" s="3273">
        <v>30</v>
      </c>
      <c r="B102" s="3976"/>
      <c r="C102" s="3251" t="s">
        <v>2582</v>
      </c>
      <c r="D102" s="3251" t="s">
        <v>2583</v>
      </c>
      <c r="E102" s="3274">
        <v>0.1</v>
      </c>
      <c r="F102" s="3273">
        <v>15</v>
      </c>
    </row>
    <row r="103" spans="1:6" s="1024" customFormat="1" ht="24">
      <c r="A103" s="3273">
        <v>31</v>
      </c>
      <c r="B103" s="3976"/>
      <c r="C103" s="3251" t="s">
        <v>2584</v>
      </c>
      <c r="D103" s="3251" t="s">
        <v>2585</v>
      </c>
      <c r="E103" s="3274">
        <v>0.1</v>
      </c>
      <c r="F103" s="3273">
        <v>15</v>
      </c>
    </row>
    <row r="104" spans="1:6" s="1024" customFormat="1" ht="24">
      <c r="A104" s="3273">
        <v>32</v>
      </c>
      <c r="B104" s="3976"/>
      <c r="C104" s="3251" t="s">
        <v>2586</v>
      </c>
      <c r="D104" s="3251" t="s">
        <v>2587</v>
      </c>
      <c r="E104" s="3274">
        <v>0.1</v>
      </c>
      <c r="F104" s="3273">
        <v>15</v>
      </c>
    </row>
    <row r="105" spans="1:6" s="1024" customFormat="1" ht="24">
      <c r="A105" s="3273">
        <v>33</v>
      </c>
      <c r="B105" s="3976"/>
      <c r="C105" s="3251" t="s">
        <v>2588</v>
      </c>
      <c r="D105" s="3251" t="s">
        <v>2589</v>
      </c>
      <c r="E105" s="3274">
        <v>0.1</v>
      </c>
      <c r="F105" s="3273">
        <v>15</v>
      </c>
    </row>
    <row r="106" spans="1:6" s="1024" customFormat="1" ht="24">
      <c r="A106" s="3273">
        <v>34</v>
      </c>
      <c r="B106" s="3975"/>
      <c r="C106" s="3251" t="s">
        <v>2590</v>
      </c>
      <c r="D106" s="3251" t="s">
        <v>2591</v>
      </c>
      <c r="E106" s="3274">
        <v>0.1</v>
      </c>
      <c r="F106" s="3273">
        <v>15</v>
      </c>
    </row>
    <row r="107" spans="1:6" s="1024" customFormat="1" ht="24">
      <c r="A107" s="3273">
        <v>35</v>
      </c>
      <c r="B107" s="3974" t="s">
        <v>2592</v>
      </c>
      <c r="C107" s="3273" t="s">
        <v>2593</v>
      </c>
      <c r="D107" s="3251" t="s">
        <v>2594</v>
      </c>
      <c r="E107" s="3274">
        <v>0.15</v>
      </c>
      <c r="F107" s="3273">
        <v>20</v>
      </c>
    </row>
    <row r="108" spans="1:6" s="1024" customFormat="1" ht="24">
      <c r="A108" s="3273">
        <v>36</v>
      </c>
      <c r="B108" s="3976"/>
      <c r="C108" s="3273" t="s">
        <v>2595</v>
      </c>
      <c r="D108" s="3251" t="s">
        <v>2596</v>
      </c>
      <c r="E108" s="3274">
        <v>0.15</v>
      </c>
      <c r="F108" s="3273">
        <v>20</v>
      </c>
    </row>
    <row r="109" spans="1:6" s="1024" customFormat="1" ht="24">
      <c r="A109" s="3273">
        <v>37</v>
      </c>
      <c r="B109" s="3976"/>
      <c r="C109" s="3273" t="s">
        <v>2597</v>
      </c>
      <c r="D109" s="3251" t="s">
        <v>2598</v>
      </c>
      <c r="E109" s="3274">
        <v>0.15</v>
      </c>
      <c r="F109" s="3273">
        <v>20</v>
      </c>
    </row>
    <row r="110" spans="1:6" s="1024" customFormat="1">
      <c r="A110" s="3273">
        <v>38</v>
      </c>
      <c r="B110" s="3976"/>
      <c r="C110" s="3273" t="s">
        <v>2599</v>
      </c>
      <c r="D110" s="3251" t="s">
        <v>2600</v>
      </c>
      <c r="E110" s="3274">
        <v>0.1</v>
      </c>
      <c r="F110" s="3273">
        <v>15</v>
      </c>
    </row>
    <row r="111" spans="1:6" s="1024" customFormat="1" ht="24">
      <c r="A111" s="3273">
        <v>39</v>
      </c>
      <c r="B111" s="3976"/>
      <c r="C111" s="3273" t="s">
        <v>2601</v>
      </c>
      <c r="D111" s="3251" t="s">
        <v>2602</v>
      </c>
      <c r="E111" s="3274">
        <v>0.1</v>
      </c>
      <c r="F111" s="3273">
        <v>15</v>
      </c>
    </row>
    <row r="112" spans="1:6" s="1024" customFormat="1" ht="24">
      <c r="A112" s="3273">
        <v>40</v>
      </c>
      <c r="B112" s="3975"/>
      <c r="C112" s="3273" t="s">
        <v>2603</v>
      </c>
      <c r="D112" s="3251" t="s">
        <v>2604</v>
      </c>
      <c r="E112" s="3274">
        <v>0.1</v>
      </c>
      <c r="F112" s="3273">
        <v>15</v>
      </c>
    </row>
    <row r="113" spans="1:6" s="1024" customFormat="1" ht="24">
      <c r="A113" s="3273">
        <v>41</v>
      </c>
      <c r="B113" s="3973" t="s">
        <v>2605</v>
      </c>
      <c r="C113" s="3273" t="s">
        <v>2606</v>
      </c>
      <c r="D113" s="3251" t="s">
        <v>2607</v>
      </c>
      <c r="E113" s="3274">
        <v>0.1</v>
      </c>
      <c r="F113" s="3273">
        <v>15</v>
      </c>
    </row>
    <row r="114" spans="1:6" s="1024" customFormat="1">
      <c r="A114" s="3273">
        <v>42</v>
      </c>
      <c r="B114" s="3973"/>
      <c r="C114" s="3273" t="s">
        <v>2608</v>
      </c>
      <c r="D114" s="3251" t="s">
        <v>2609</v>
      </c>
      <c r="E114" s="3274">
        <v>0.1</v>
      </c>
      <c r="F114" s="3273">
        <v>15</v>
      </c>
    </row>
    <row r="115" spans="1:6" s="1024" customFormat="1" ht="24">
      <c r="A115" s="3273">
        <v>43</v>
      </c>
      <c r="B115" s="3973"/>
      <c r="C115" s="3273" t="s">
        <v>2610</v>
      </c>
      <c r="D115" s="3251" t="s">
        <v>2611</v>
      </c>
      <c r="E115" s="3274">
        <v>0.1</v>
      </c>
      <c r="F115" s="3273">
        <v>15</v>
      </c>
    </row>
    <row r="116" spans="1:6" s="1024" customFormat="1" ht="24">
      <c r="A116" s="3273">
        <v>44</v>
      </c>
      <c r="B116" s="3974" t="s">
        <v>2612</v>
      </c>
      <c r="C116" s="3273" t="s">
        <v>2613</v>
      </c>
      <c r="D116" s="3251" t="s">
        <v>2614</v>
      </c>
      <c r="E116" s="3274">
        <v>0.1</v>
      </c>
      <c r="F116" s="3273">
        <v>15</v>
      </c>
    </row>
    <row r="117" spans="1:6" s="1024" customFormat="1" ht="24">
      <c r="A117" s="3273">
        <v>45</v>
      </c>
      <c r="B117" s="3975"/>
      <c r="C117" s="3251" t="s">
        <v>2615</v>
      </c>
      <c r="D117" s="3251" t="s">
        <v>2616</v>
      </c>
      <c r="E117" s="3274">
        <v>0.1</v>
      </c>
      <c r="F117" s="3273">
        <v>15</v>
      </c>
    </row>
    <row r="118" spans="1:6" s="1024" customFormat="1" ht="24">
      <c r="A118" s="3273">
        <v>46</v>
      </c>
      <c r="B118" s="3974" t="s">
        <v>2617</v>
      </c>
      <c r="C118" s="3273" t="s">
        <v>2618</v>
      </c>
      <c r="D118" s="3251" t="s">
        <v>2619</v>
      </c>
      <c r="E118" s="3274">
        <v>0.1</v>
      </c>
      <c r="F118" s="3273">
        <v>15</v>
      </c>
    </row>
    <row r="119" spans="1:6" s="1024" customFormat="1" ht="24">
      <c r="A119" s="3273">
        <v>47</v>
      </c>
      <c r="B119" s="3975"/>
      <c r="C119" s="3273" t="s">
        <v>2620</v>
      </c>
      <c r="D119" s="3251" t="s">
        <v>2621</v>
      </c>
      <c r="E119" s="3274">
        <v>0.1</v>
      </c>
      <c r="F119" s="3273">
        <v>15</v>
      </c>
    </row>
    <row r="120" spans="1:6" s="1024" customFormat="1" ht="24">
      <c r="A120" s="3273">
        <v>48</v>
      </c>
      <c r="B120" s="3974" t="s">
        <v>2622</v>
      </c>
      <c r="C120" s="3273" t="s">
        <v>2623</v>
      </c>
      <c r="D120" s="3251" t="s">
        <v>2624</v>
      </c>
      <c r="E120" s="3274">
        <v>0.1</v>
      </c>
      <c r="F120" s="3273">
        <v>15</v>
      </c>
    </row>
    <row r="121" spans="1:6" s="1024" customFormat="1">
      <c r="A121" s="3273">
        <v>49</v>
      </c>
      <c r="B121" s="3975"/>
      <c r="C121" s="3273" t="s">
        <v>2625</v>
      </c>
      <c r="D121" s="3251" t="s">
        <v>2626</v>
      </c>
      <c r="E121" s="3274">
        <v>0.1</v>
      </c>
      <c r="F121" s="3273">
        <v>15</v>
      </c>
    </row>
    <row r="122" spans="1:6" s="1024" customFormat="1" ht="24">
      <c r="A122" s="3273">
        <v>50</v>
      </c>
      <c r="B122" s="3973" t="s">
        <v>2627</v>
      </c>
      <c r="C122" s="3273" t="s">
        <v>2628</v>
      </c>
      <c r="D122" s="3251" t="s">
        <v>2629</v>
      </c>
      <c r="E122" s="3274">
        <v>0.1</v>
      </c>
      <c r="F122" s="3273">
        <v>15</v>
      </c>
    </row>
    <row r="123" spans="1:6" s="1024" customFormat="1" ht="24">
      <c r="A123" s="3273">
        <v>51</v>
      </c>
      <c r="B123" s="3973"/>
      <c r="C123" s="3273" t="s">
        <v>2630</v>
      </c>
      <c r="D123" s="3251" t="s">
        <v>2631</v>
      </c>
      <c r="E123" s="3274">
        <v>0.1</v>
      </c>
      <c r="F123" s="3273">
        <v>15</v>
      </c>
    </row>
    <row r="124" spans="1:6" s="1024" customFormat="1" ht="24">
      <c r="A124" s="3273">
        <v>52</v>
      </c>
      <c r="B124" s="3973" t="s">
        <v>2632</v>
      </c>
      <c r="C124" s="3273" t="s">
        <v>2633</v>
      </c>
      <c r="D124" s="3251" t="s">
        <v>2634</v>
      </c>
      <c r="E124" s="3274">
        <v>0.1</v>
      </c>
      <c r="F124" s="3273">
        <v>15</v>
      </c>
    </row>
    <row r="125" spans="1:6" s="1024" customFormat="1" ht="24">
      <c r="A125" s="3273">
        <v>53</v>
      </c>
      <c r="B125" s="3973"/>
      <c r="C125" s="3273" t="s">
        <v>2635</v>
      </c>
      <c r="D125" s="3251" t="s">
        <v>2636</v>
      </c>
      <c r="E125" s="3274">
        <v>0.1</v>
      </c>
      <c r="F125" s="3273">
        <v>15</v>
      </c>
    </row>
    <row r="126" spans="1:6" ht="24">
      <c r="A126" s="3273">
        <v>54</v>
      </c>
      <c r="B126" s="3273" t="s">
        <v>2637</v>
      </c>
      <c r="C126" s="3273" t="s">
        <v>2638</v>
      </c>
      <c r="D126" s="3251" t="s">
        <v>2639</v>
      </c>
      <c r="E126" s="3274">
        <v>0.1</v>
      </c>
      <c r="F126" s="3273">
        <v>15</v>
      </c>
    </row>
    <row r="127" spans="1:6">
      <c r="A127" s="3273">
        <v>55</v>
      </c>
      <c r="B127" s="3973" t="s">
        <v>2640</v>
      </c>
      <c r="C127" s="3273" t="s">
        <v>2641</v>
      </c>
      <c r="D127" s="3251" t="s">
        <v>2642</v>
      </c>
      <c r="E127" s="3274">
        <v>0.1</v>
      </c>
      <c r="F127" s="3273">
        <v>15</v>
      </c>
    </row>
    <row r="128" spans="1:6">
      <c r="A128" s="3273">
        <v>56</v>
      </c>
      <c r="B128" s="3973"/>
      <c r="C128" s="3273" t="s">
        <v>2643</v>
      </c>
      <c r="D128" s="3251" t="s">
        <v>2644</v>
      </c>
      <c r="E128" s="3274">
        <v>0.1</v>
      </c>
      <c r="F128" s="3273">
        <v>15</v>
      </c>
    </row>
    <row r="129" spans="1:14" ht="24">
      <c r="A129" s="3273">
        <v>57</v>
      </c>
      <c r="B129" s="3973"/>
      <c r="C129" s="3273" t="s">
        <v>2645</v>
      </c>
      <c r="D129" s="3251" t="s">
        <v>2646</v>
      </c>
      <c r="E129" s="3274">
        <v>0.1</v>
      </c>
      <c r="F129" s="3273">
        <v>15</v>
      </c>
    </row>
    <row r="130" spans="1:14" ht="24">
      <c r="A130" s="3273">
        <v>58</v>
      </c>
      <c r="B130" s="3973" t="s">
        <v>2647</v>
      </c>
      <c r="C130" s="3273" t="s">
        <v>2648</v>
      </c>
      <c r="D130" s="3251" t="s">
        <v>2649</v>
      </c>
      <c r="E130" s="3274">
        <v>0.1</v>
      </c>
      <c r="F130" s="3273">
        <v>15</v>
      </c>
    </row>
    <row r="131" spans="1:14" ht="24">
      <c r="A131" s="3273">
        <v>59</v>
      </c>
      <c r="B131" s="3973"/>
      <c r="C131" s="3273" t="s">
        <v>2650</v>
      </c>
      <c r="D131" s="3251" t="s">
        <v>2651</v>
      </c>
      <c r="E131" s="3274">
        <v>0.1</v>
      </c>
      <c r="F131" s="3273">
        <v>15</v>
      </c>
    </row>
    <row r="132" spans="1:14" ht="24">
      <c r="A132" s="3273">
        <v>60</v>
      </c>
      <c r="B132" s="3974" t="s">
        <v>2652</v>
      </c>
      <c r="C132" s="3273" t="s">
        <v>2653</v>
      </c>
      <c r="D132" s="3251" t="s">
        <v>2654</v>
      </c>
      <c r="E132" s="3274">
        <v>0.1</v>
      </c>
      <c r="F132" s="3273">
        <v>15</v>
      </c>
    </row>
    <row r="133" spans="1:14" ht="24">
      <c r="A133" s="3273">
        <v>61</v>
      </c>
      <c r="B133" s="3975"/>
      <c r="C133" s="3273" t="s">
        <v>2655</v>
      </c>
      <c r="D133" s="3251" t="s">
        <v>2656</v>
      </c>
      <c r="E133" s="3274">
        <v>0.1</v>
      </c>
      <c r="F133" s="3273">
        <v>15</v>
      </c>
    </row>
    <row r="134" spans="1:14" ht="24">
      <c r="A134" s="3273">
        <v>62</v>
      </c>
      <c r="B134" s="3273" t="s">
        <v>2657</v>
      </c>
      <c r="C134" s="3273" t="s">
        <v>2658</v>
      </c>
      <c r="D134" s="3251" t="s">
        <v>2659</v>
      </c>
      <c r="E134" s="3274">
        <v>0.1</v>
      </c>
      <c r="F134" s="3273">
        <v>15</v>
      </c>
    </row>
    <row r="135" spans="1:14" ht="24">
      <c r="A135" s="3273">
        <v>63</v>
      </c>
      <c r="B135" s="3973" t="s">
        <v>2660</v>
      </c>
      <c r="C135" s="3273" t="s">
        <v>2661</v>
      </c>
      <c r="D135" s="3251" t="s">
        <v>2662</v>
      </c>
      <c r="E135" s="3274">
        <v>0.1</v>
      </c>
      <c r="F135" s="3273">
        <v>15</v>
      </c>
    </row>
    <row r="136" spans="1:14">
      <c r="A136" s="3273">
        <v>64</v>
      </c>
      <c r="B136" s="3973"/>
      <c r="C136" s="3273" t="s">
        <v>2663</v>
      </c>
      <c r="D136" s="3251" t="s">
        <v>2664</v>
      </c>
      <c r="E136" s="3274">
        <v>0.1</v>
      </c>
      <c r="F136" s="3273">
        <v>15</v>
      </c>
    </row>
    <row r="137" spans="1:14" ht="24">
      <c r="A137" s="3273">
        <v>65</v>
      </c>
      <c r="B137" s="3273" t="s">
        <v>2665</v>
      </c>
      <c r="C137" s="3273" t="s">
        <v>2666</v>
      </c>
      <c r="D137" s="3251" t="s">
        <v>2667</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85" t="s">
        <v>2809</v>
      </c>
      <c r="B1" s="3985"/>
      <c r="C1" s="3985"/>
      <c r="D1" s="3985"/>
      <c r="E1" s="3985"/>
      <c r="F1" s="3985"/>
      <c r="G1" s="3986"/>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2810</v>
      </c>
      <c r="B2" s="3418"/>
      <c r="C2" s="3418"/>
      <c r="D2" s="3418"/>
      <c r="E2" s="3418"/>
      <c r="F2" s="3418"/>
      <c r="G2" s="3413" t="s">
        <v>2811</v>
      </c>
      <c r="J2" s="3442" t="s">
        <v>2817</v>
      </c>
      <c r="K2" s="3422" t="s">
        <v>2819</v>
      </c>
      <c r="L2" s="3422" t="s">
        <v>2821</v>
      </c>
      <c r="M2" s="3422" t="s">
        <v>2827</v>
      </c>
      <c r="N2" s="3422" t="s">
        <v>2837</v>
      </c>
      <c r="O2" s="3422" t="s">
        <v>2852</v>
      </c>
      <c r="P2" s="3422" t="s">
        <v>2889</v>
      </c>
      <c r="Q2" s="3422" t="s">
        <v>2920</v>
      </c>
      <c r="R2" s="3422" t="s">
        <v>2948</v>
      </c>
      <c r="S2" s="3422" t="s">
        <v>2983</v>
      </c>
      <c r="T2" s="3422" t="s">
        <v>3003</v>
      </c>
      <c r="U2" s="3422" t="s">
        <v>3015</v>
      </c>
    </row>
    <row r="3" spans="1:21" s="1011" customFormat="1" ht="19.5" customHeight="1">
      <c r="A3" s="3987" t="s">
        <v>2812</v>
      </c>
      <c r="B3" s="3414"/>
      <c r="C3" s="3415" t="s">
        <v>2789</v>
      </c>
      <c r="D3" s="3415" t="s">
        <v>2813</v>
      </c>
      <c r="E3" s="3415" t="s">
        <v>2791</v>
      </c>
      <c r="F3" s="3415" t="s">
        <v>2814</v>
      </c>
      <c r="G3" s="3415" t="s">
        <v>2732</v>
      </c>
      <c r="H3" s="1014"/>
      <c r="J3" s="3442" t="s">
        <v>2818</v>
      </c>
      <c r="K3" s="3422" t="s">
        <v>973</v>
      </c>
      <c r="L3" s="3422" t="s">
        <v>974</v>
      </c>
      <c r="M3" s="3422" t="s">
        <v>975</v>
      </c>
      <c r="N3" s="3422" t="s">
        <v>976</v>
      </c>
      <c r="O3" s="3422" t="s">
        <v>977</v>
      </c>
      <c r="P3" s="3422" t="s">
        <v>978</v>
      </c>
      <c r="Q3" s="3422" t="s">
        <v>979</v>
      </c>
      <c r="R3" s="3422" t="s">
        <v>980</v>
      </c>
      <c r="S3" s="3422" t="s">
        <v>981</v>
      </c>
      <c r="T3" s="3422" t="s">
        <v>3004</v>
      </c>
      <c r="U3" s="3422" t="s">
        <v>3016</v>
      </c>
    </row>
    <row r="4" spans="1:21" s="1011" customFormat="1" ht="19.5" customHeight="1" thickBot="1">
      <c r="A4" s="3988"/>
      <c r="B4" s="3416" t="s">
        <v>2815</v>
      </c>
      <c r="C4" s="3416" t="s">
        <v>2816</v>
      </c>
      <c r="D4" s="3416" t="s">
        <v>2816</v>
      </c>
      <c r="E4" s="3416" t="s">
        <v>2816</v>
      </c>
      <c r="F4" s="3417" t="s">
        <v>2816</v>
      </c>
      <c r="G4" s="3417" t="s">
        <v>2816</v>
      </c>
      <c r="H4" s="1014"/>
      <c r="J4" s="3442" t="s">
        <v>982</v>
      </c>
      <c r="K4" s="3422" t="s">
        <v>983</v>
      </c>
      <c r="L4" s="3422" t="s">
        <v>984</v>
      </c>
      <c r="M4" s="3422" t="s">
        <v>985</v>
      </c>
      <c r="N4" s="3422" t="s">
        <v>986</v>
      </c>
      <c r="O4" s="3422" t="s">
        <v>987</v>
      </c>
      <c r="P4" s="3422" t="s">
        <v>988</v>
      </c>
      <c r="Q4" s="3422" t="s">
        <v>989</v>
      </c>
      <c r="R4" s="3422" t="s">
        <v>2949</v>
      </c>
      <c r="S4" s="3422" t="s">
        <v>2984</v>
      </c>
      <c r="T4" s="3422" t="s">
        <v>3005</v>
      </c>
      <c r="U4" s="3422" t="s">
        <v>3017</v>
      </c>
    </row>
    <row r="5" spans="1:21" ht="14.25" customHeight="1">
      <c r="A5" s="3419" t="s">
        <v>990</v>
      </c>
      <c r="B5" s="3420" t="s">
        <v>2817</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2950</v>
      </c>
      <c r="S5" s="3422" t="s">
        <v>2985</v>
      </c>
      <c r="T5" s="3422" t="s">
        <v>999</v>
      </c>
      <c r="U5" s="3422" t="s">
        <v>3018</v>
      </c>
    </row>
    <row r="6" spans="1:21" ht="14.25" customHeight="1">
      <c r="A6" s="3422" t="s">
        <v>990</v>
      </c>
      <c r="B6" s="3422" t="s">
        <v>2818</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2921</v>
      </c>
      <c r="R6" s="3422" t="s">
        <v>2951</v>
      </c>
      <c r="S6" s="3422" t="s">
        <v>1008</v>
      </c>
      <c r="T6" s="3422" t="s">
        <v>3006</v>
      </c>
      <c r="U6" s="3422" t="s">
        <v>3019</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2922</v>
      </c>
      <c r="R7" s="3422" t="s">
        <v>2952</v>
      </c>
      <c r="S7" s="3422" t="s">
        <v>2986</v>
      </c>
      <c r="T7" s="3422" t="s">
        <v>3007</v>
      </c>
      <c r="U7" s="1288" t="s">
        <v>3020</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2923</v>
      </c>
      <c r="R8" s="3422" t="s">
        <v>1021</v>
      </c>
      <c r="S8" s="3422" t="s">
        <v>2987</v>
      </c>
      <c r="T8" s="3422" t="s">
        <v>3008</v>
      </c>
      <c r="U8" s="3422" t="s">
        <v>3021</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2924</v>
      </c>
      <c r="R9" s="3422" t="s">
        <v>1029</v>
      </c>
      <c r="S9" s="3422" t="s">
        <v>1030</v>
      </c>
      <c r="T9" s="3422" t="s">
        <v>1047</v>
      </c>
    </row>
    <row r="10" spans="1:21" ht="14.25" customHeight="1">
      <c r="A10" s="3419" t="s">
        <v>1031</v>
      </c>
      <c r="B10" s="3420" t="s">
        <v>2819</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3009</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2890</v>
      </c>
      <c r="Q11" s="3422" t="s">
        <v>1038</v>
      </c>
      <c r="R11" s="3422" t="s">
        <v>1046</v>
      </c>
      <c r="S11" s="3422" t="s">
        <v>2988</v>
      </c>
      <c r="T11" s="3422" t="s">
        <v>3010</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2891</v>
      </c>
      <c r="Q12" s="3422" t="s">
        <v>2925</v>
      </c>
      <c r="R12" s="3422" t="s">
        <v>2953</v>
      </c>
      <c r="S12" s="3422" t="s">
        <v>2989</v>
      </c>
      <c r="T12" s="3422" t="s">
        <v>3011</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2892</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2954</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2893</v>
      </c>
      <c r="Q15" s="3422" t="s">
        <v>2926</v>
      </c>
      <c r="R15" s="3422" t="s">
        <v>1090</v>
      </c>
      <c r="S15" s="3422" t="s">
        <v>2990</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2894</v>
      </c>
      <c r="Q16" s="3422" t="s">
        <v>1075</v>
      </c>
      <c r="R16" s="3422" t="s">
        <v>1098</v>
      </c>
      <c r="S16" s="3422" t="s">
        <v>1054</v>
      </c>
      <c r="T16" s="3422" t="s">
        <v>3012</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2895</v>
      </c>
      <c r="Q17" s="3422" t="s">
        <v>2927</v>
      </c>
      <c r="R17" s="3422" t="s">
        <v>1104</v>
      </c>
      <c r="S17" s="3422" t="s">
        <v>2991</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2896</v>
      </c>
      <c r="Q18" s="3422" t="s">
        <v>1089</v>
      </c>
      <c r="R18" s="3422" t="s">
        <v>2955</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2897</v>
      </c>
      <c r="Q19" s="3422" t="s">
        <v>1097</v>
      </c>
      <c r="R19" s="3422" t="s">
        <v>2956</v>
      </c>
      <c r="S19" s="3422" t="s">
        <v>1113</v>
      </c>
      <c r="T19" s="3422" t="s">
        <v>3013</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2898</v>
      </c>
      <c r="Q20" s="3422" t="s">
        <v>2928</v>
      </c>
      <c r="R20" s="3422" t="s">
        <v>1139</v>
      </c>
      <c r="S20" s="3422" t="s">
        <v>2992</v>
      </c>
      <c r="T20" s="3422" t="s">
        <v>1126</v>
      </c>
    </row>
    <row r="21" spans="1:20" ht="14.25" customHeight="1">
      <c r="A21" s="3422" t="s">
        <v>1031</v>
      </c>
      <c r="B21" s="1288" t="s">
        <v>1055</v>
      </c>
      <c r="C21" s="3422">
        <v>32370</v>
      </c>
      <c r="D21" s="3422">
        <v>26730</v>
      </c>
      <c r="E21" s="3422">
        <v>26640</v>
      </c>
      <c r="F21" s="3428"/>
      <c r="G21" s="3429">
        <v>19440</v>
      </c>
      <c r="K21" s="3431" t="s">
        <v>2820</v>
      </c>
      <c r="L21" s="3422" t="s">
        <v>1115</v>
      </c>
      <c r="M21" s="3422" t="s">
        <v>1116</v>
      </c>
      <c r="N21" s="3422" t="s">
        <v>1117</v>
      </c>
      <c r="O21" s="3422" t="s">
        <v>1118</v>
      </c>
      <c r="P21" s="3422" t="s">
        <v>1112</v>
      </c>
      <c r="Q21" s="3422" t="s">
        <v>1132</v>
      </c>
      <c r="R21" s="3422" t="s">
        <v>1142</v>
      </c>
      <c r="S21" s="3422" t="s">
        <v>2993</v>
      </c>
      <c r="T21" s="3422" t="s">
        <v>3014</v>
      </c>
    </row>
    <row r="22" spans="1:20" ht="14.25" customHeight="1">
      <c r="A22" s="3422" t="s">
        <v>1031</v>
      </c>
      <c r="B22" s="1288" t="s">
        <v>1062</v>
      </c>
      <c r="C22" s="3422">
        <v>29830</v>
      </c>
      <c r="D22" s="3422">
        <v>27600</v>
      </c>
      <c r="E22" s="3422">
        <v>28150</v>
      </c>
      <c r="F22" s="3428"/>
      <c r="G22" s="3429">
        <v>20080</v>
      </c>
      <c r="L22" s="3431" t="s">
        <v>2822</v>
      </c>
      <c r="M22" s="3422" t="s">
        <v>1120</v>
      </c>
      <c r="N22" s="3422" t="s">
        <v>1121</v>
      </c>
      <c r="O22" s="3422" t="s">
        <v>1122</v>
      </c>
      <c r="P22" s="3422" t="s">
        <v>2899</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2823</v>
      </c>
      <c r="M23" s="3422" t="s">
        <v>1127</v>
      </c>
      <c r="N23" s="3422" t="s">
        <v>1128</v>
      </c>
      <c r="O23" s="3422" t="s">
        <v>2853</v>
      </c>
      <c r="P23" s="3422" t="s">
        <v>2900</v>
      </c>
      <c r="Q23" s="3422" t="s">
        <v>1138</v>
      </c>
      <c r="R23" s="3422" t="s">
        <v>1147</v>
      </c>
      <c r="S23" s="3422" t="s">
        <v>2994</v>
      </c>
    </row>
    <row r="24" spans="1:20" ht="14.25" customHeight="1">
      <c r="A24" s="3422" t="s">
        <v>1031</v>
      </c>
      <c r="B24" s="1288" t="s">
        <v>1078</v>
      </c>
      <c r="C24" s="3422">
        <v>27930</v>
      </c>
      <c r="D24" s="3422">
        <v>32260</v>
      </c>
      <c r="E24" s="3422">
        <v>32120</v>
      </c>
      <c r="F24" s="3428"/>
      <c r="G24" s="3429">
        <v>23470</v>
      </c>
      <c r="L24" s="3431" t="s">
        <v>2824</v>
      </c>
      <c r="M24" s="3422" t="s">
        <v>1130</v>
      </c>
      <c r="N24" s="3422" t="s">
        <v>1131</v>
      </c>
      <c r="O24" s="3422" t="s">
        <v>2854</v>
      </c>
      <c r="P24" s="3422" t="s">
        <v>1134</v>
      </c>
      <c r="Q24" s="3422" t="s">
        <v>2929</v>
      </c>
      <c r="R24" s="3422" t="s">
        <v>2957</v>
      </c>
      <c r="S24" s="3422" t="s">
        <v>2995</v>
      </c>
    </row>
    <row r="25" spans="1:20" ht="14.25" customHeight="1">
      <c r="A25" s="3422" t="s">
        <v>1031</v>
      </c>
      <c r="B25" s="1288" t="s">
        <v>1083</v>
      </c>
      <c r="C25" s="3422">
        <v>32230</v>
      </c>
      <c r="D25" s="3422">
        <v>29640</v>
      </c>
      <c r="E25" s="3422">
        <v>29510</v>
      </c>
      <c r="F25" s="3428"/>
      <c r="G25" s="3429">
        <v>21560</v>
      </c>
      <c r="L25" s="3431" t="s">
        <v>2825</v>
      </c>
      <c r="M25" s="3422" t="s">
        <v>2828</v>
      </c>
      <c r="N25" s="3422" t="s">
        <v>1133</v>
      </c>
      <c r="O25" s="3422" t="s">
        <v>1141</v>
      </c>
      <c r="P25" s="3422" t="s">
        <v>1137</v>
      </c>
      <c r="Q25" s="3422" t="s">
        <v>1124</v>
      </c>
      <c r="R25" s="3422" t="s">
        <v>1119</v>
      </c>
      <c r="S25" s="3422" t="s">
        <v>2996</v>
      </c>
    </row>
    <row r="26" spans="1:20" ht="14.25" customHeight="1">
      <c r="A26" s="3422" t="s">
        <v>1031</v>
      </c>
      <c r="B26" s="1288" t="s">
        <v>1092</v>
      </c>
      <c r="C26" s="3422">
        <v>31690</v>
      </c>
      <c r="D26" s="3422">
        <v>27650</v>
      </c>
      <c r="E26" s="3422">
        <v>28200</v>
      </c>
      <c r="F26" s="3428"/>
      <c r="G26" s="3429">
        <v>20110</v>
      </c>
      <c r="L26" s="3431" t="s">
        <v>2826</v>
      </c>
      <c r="M26" s="3422" t="s">
        <v>2829</v>
      </c>
      <c r="N26" s="3422" t="s">
        <v>1136</v>
      </c>
      <c r="O26" s="3422" t="s">
        <v>1143</v>
      </c>
      <c r="P26" s="3422" t="s">
        <v>2901</v>
      </c>
      <c r="Q26" s="3422" t="s">
        <v>2930</v>
      </c>
      <c r="R26" s="3422" t="s">
        <v>1125</v>
      </c>
      <c r="S26" s="3422" t="s">
        <v>2997</v>
      </c>
    </row>
    <row r="27" spans="1:20" ht="14.25" customHeight="1">
      <c r="A27" s="3422" t="s">
        <v>1031</v>
      </c>
      <c r="B27" s="1288" t="s">
        <v>1099</v>
      </c>
      <c r="C27" s="3422">
        <v>29610</v>
      </c>
      <c r="D27" s="3422">
        <v>27770</v>
      </c>
      <c r="E27" s="3422">
        <v>28300</v>
      </c>
      <c r="F27" s="3428"/>
      <c r="G27" s="3429">
        <v>20210</v>
      </c>
      <c r="M27" s="3422" t="s">
        <v>2830</v>
      </c>
      <c r="N27" s="3422" t="s">
        <v>1140</v>
      </c>
      <c r="O27" s="3422" t="s">
        <v>1146</v>
      </c>
      <c r="P27" s="3422" t="s">
        <v>1123</v>
      </c>
      <c r="Q27" s="3422" t="s">
        <v>2931</v>
      </c>
      <c r="R27" s="3422" t="s">
        <v>2958</v>
      </c>
      <c r="S27" s="3422" t="s">
        <v>2998</v>
      </c>
    </row>
    <row r="28" spans="1:20" ht="14.25" customHeight="1">
      <c r="A28" s="3436" t="s">
        <v>1031</v>
      </c>
      <c r="B28" s="2600" t="s">
        <v>1107</v>
      </c>
      <c r="C28" s="1286"/>
      <c r="D28" s="1286">
        <v>31520</v>
      </c>
      <c r="E28" s="1286">
        <v>31410</v>
      </c>
      <c r="F28" s="3433"/>
      <c r="G28" s="3434">
        <v>22940</v>
      </c>
      <c r="M28" s="3422" t="s">
        <v>2831</v>
      </c>
      <c r="N28" s="3422" t="s">
        <v>2838</v>
      </c>
      <c r="O28" s="3422" t="s">
        <v>2855</v>
      </c>
      <c r="P28" s="3422" t="s">
        <v>2902</v>
      </c>
      <c r="Q28" s="3422" t="s">
        <v>2932</v>
      </c>
      <c r="R28" s="3422" t="s">
        <v>2959</v>
      </c>
      <c r="S28" s="3431" t="s">
        <v>2999</v>
      </c>
    </row>
    <row r="29" spans="1:20" ht="14.25" customHeight="1" thickBot="1">
      <c r="A29" s="3437" t="s">
        <v>1031</v>
      </c>
      <c r="B29" s="3425" t="s">
        <v>2820</v>
      </c>
      <c r="C29" s="3425"/>
      <c r="D29" s="3425">
        <v>29460</v>
      </c>
      <c r="E29" s="3425">
        <v>28640</v>
      </c>
      <c r="F29" s="3426"/>
      <c r="G29" s="3438">
        <v>21430</v>
      </c>
      <c r="M29" s="3431" t="s">
        <v>2832</v>
      </c>
      <c r="N29" s="3422" t="s">
        <v>2839</v>
      </c>
      <c r="O29" s="3422" t="s">
        <v>2856</v>
      </c>
      <c r="P29" s="3422" t="s">
        <v>2903</v>
      </c>
      <c r="Q29" s="3422" t="s">
        <v>2933</v>
      </c>
      <c r="R29" s="3422" t="s">
        <v>2960</v>
      </c>
      <c r="S29" s="3431" t="s">
        <v>1129</v>
      </c>
    </row>
    <row r="30" spans="1:20" ht="14.25" customHeight="1">
      <c r="A30" s="3436" t="s">
        <v>1145</v>
      </c>
      <c r="B30" s="1288" t="s">
        <v>2821</v>
      </c>
      <c r="C30" s="1288">
        <v>26890</v>
      </c>
      <c r="D30" s="1288">
        <v>26770</v>
      </c>
      <c r="E30" s="1288">
        <v>25700</v>
      </c>
      <c r="F30" s="3423">
        <v>8180</v>
      </c>
      <c r="G30" s="3423">
        <v>18740</v>
      </c>
      <c r="I30" s="1021"/>
      <c r="M30" s="3431" t="s">
        <v>2833</v>
      </c>
      <c r="N30" s="3422" t="s">
        <v>2840</v>
      </c>
      <c r="O30" s="3422" t="s">
        <v>2857</v>
      </c>
      <c r="P30" s="3422" t="s">
        <v>2904</v>
      </c>
      <c r="Q30" s="3422" t="s">
        <v>2934</v>
      </c>
      <c r="R30" s="3422" t="s">
        <v>2961</v>
      </c>
      <c r="S30" s="3431" t="s">
        <v>3000</v>
      </c>
    </row>
    <row r="31" spans="1:20" ht="14.25" customHeight="1">
      <c r="A31" s="3422" t="s">
        <v>1145</v>
      </c>
      <c r="B31" s="1288" t="s">
        <v>974</v>
      </c>
      <c r="C31" s="3422">
        <v>24550</v>
      </c>
      <c r="D31" s="3422">
        <v>23990</v>
      </c>
      <c r="E31" s="3422">
        <v>22930</v>
      </c>
      <c r="F31" s="3428">
        <v>7470</v>
      </c>
      <c r="G31" s="3428">
        <v>16790</v>
      </c>
      <c r="I31" s="1021"/>
      <c r="M31" s="3431" t="s">
        <v>2834</v>
      </c>
      <c r="N31" s="3422" t="s">
        <v>2841</v>
      </c>
      <c r="O31" s="3422" t="s">
        <v>2858</v>
      </c>
      <c r="P31" s="3422" t="s">
        <v>2905</v>
      </c>
      <c r="Q31" s="3422" t="s">
        <v>2935</v>
      </c>
      <c r="R31" s="3422" t="s">
        <v>2962</v>
      </c>
      <c r="S31" s="3431" t="s">
        <v>3001</v>
      </c>
    </row>
    <row r="32" spans="1:20" ht="14.25" customHeight="1">
      <c r="A32" s="3422" t="s">
        <v>1145</v>
      </c>
      <c r="B32" s="1288" t="s">
        <v>984</v>
      </c>
      <c r="C32" s="3422">
        <v>27210</v>
      </c>
      <c r="D32" s="3422">
        <v>23240</v>
      </c>
      <c r="E32" s="3422">
        <v>23260</v>
      </c>
      <c r="F32" s="3428">
        <v>7130</v>
      </c>
      <c r="G32" s="3428">
        <v>16270</v>
      </c>
      <c r="I32" s="1021"/>
      <c r="M32" s="3431" t="s">
        <v>2835</v>
      </c>
      <c r="N32" s="3422" t="s">
        <v>2842</v>
      </c>
      <c r="O32" s="3422" t="s">
        <v>1149</v>
      </c>
      <c r="P32" s="3422" t="s">
        <v>2906</v>
      </c>
      <c r="Q32" s="3422" t="s">
        <v>1148</v>
      </c>
      <c r="R32" s="3422" t="s">
        <v>2963</v>
      </c>
      <c r="S32" s="3431" t="s">
        <v>3002</v>
      </c>
    </row>
    <row r="33" spans="1:18" ht="14.25" customHeight="1">
      <c r="A33" s="3422" t="s">
        <v>1145</v>
      </c>
      <c r="B33" s="1288" t="s">
        <v>993</v>
      </c>
      <c r="C33" s="3422">
        <v>27300</v>
      </c>
      <c r="D33" s="3422">
        <v>22980</v>
      </c>
      <c r="E33" s="3422">
        <v>24260</v>
      </c>
      <c r="F33" s="3428">
        <v>5860</v>
      </c>
      <c r="G33" s="3428">
        <v>16090</v>
      </c>
      <c r="I33" s="1021"/>
      <c r="M33" s="3431" t="s">
        <v>2836</v>
      </c>
      <c r="N33" s="3422" t="s">
        <v>2843</v>
      </c>
      <c r="O33" s="3422" t="s">
        <v>1150</v>
      </c>
      <c r="P33" s="3422" t="s">
        <v>2907</v>
      </c>
      <c r="Q33" s="3422" t="s">
        <v>2936</v>
      </c>
      <c r="R33" s="3422" t="s">
        <v>2964</v>
      </c>
    </row>
    <row r="34" spans="1:18" ht="14.25" customHeight="1">
      <c r="A34" s="3422" t="s">
        <v>1145</v>
      </c>
      <c r="B34" s="1288" t="s">
        <v>1003</v>
      </c>
      <c r="C34" s="3422">
        <v>23090</v>
      </c>
      <c r="D34" s="3422">
        <v>23390</v>
      </c>
      <c r="E34" s="3422">
        <v>23510</v>
      </c>
      <c r="F34" s="3428">
        <v>6700</v>
      </c>
      <c r="G34" s="3428">
        <v>16370</v>
      </c>
      <c r="I34" s="1021"/>
      <c r="N34" s="3422" t="s">
        <v>2844</v>
      </c>
      <c r="O34" s="3422" t="s">
        <v>1151</v>
      </c>
      <c r="P34" s="3422" t="s">
        <v>2908</v>
      </c>
      <c r="Q34" s="3422" t="s">
        <v>2937</v>
      </c>
      <c r="R34" s="3422" t="s">
        <v>2965</v>
      </c>
    </row>
    <row r="35" spans="1:18" ht="14.25" customHeight="1">
      <c r="A35" s="3422" t="s">
        <v>1145</v>
      </c>
      <c r="B35" s="1288" t="s">
        <v>1010</v>
      </c>
      <c r="C35" s="3422">
        <v>27270</v>
      </c>
      <c r="D35" s="3422">
        <v>24270</v>
      </c>
      <c r="E35" s="3422">
        <v>24950</v>
      </c>
      <c r="F35" s="3428">
        <v>6600</v>
      </c>
      <c r="G35" s="3428">
        <v>16990</v>
      </c>
      <c r="I35" s="1021"/>
      <c r="N35" s="3422" t="s">
        <v>2845</v>
      </c>
      <c r="O35" s="3422" t="s">
        <v>2859</v>
      </c>
      <c r="P35" s="3422" t="s">
        <v>2909</v>
      </c>
      <c r="Q35" s="3422" t="s">
        <v>2938</v>
      </c>
      <c r="R35" s="3422" t="s">
        <v>2966</v>
      </c>
    </row>
    <row r="36" spans="1:18" ht="14.25" customHeight="1">
      <c r="A36" s="3422" t="s">
        <v>1145</v>
      </c>
      <c r="B36" s="1288" t="s">
        <v>1016</v>
      </c>
      <c r="C36" s="3422">
        <v>23490</v>
      </c>
      <c r="D36" s="3422">
        <v>23020</v>
      </c>
      <c r="E36" s="3422">
        <v>25230</v>
      </c>
      <c r="F36" s="3428">
        <v>6780</v>
      </c>
      <c r="G36" s="3428">
        <v>16120</v>
      </c>
      <c r="I36" s="1021"/>
      <c r="N36" s="3431" t="s">
        <v>2846</v>
      </c>
      <c r="O36" s="3459" t="s">
        <v>2860</v>
      </c>
      <c r="P36" s="3422" t="s">
        <v>2910</v>
      </c>
      <c r="Q36" s="3422" t="s">
        <v>2939</v>
      </c>
      <c r="R36" s="3422" t="s">
        <v>2967</v>
      </c>
    </row>
    <row r="37" spans="1:18" ht="14.25" customHeight="1">
      <c r="A37" s="3422" t="s">
        <v>1145</v>
      </c>
      <c r="B37" s="1288" t="s">
        <v>1023</v>
      </c>
      <c r="C37" s="3422">
        <v>24380</v>
      </c>
      <c r="D37" s="3422">
        <v>22240</v>
      </c>
      <c r="E37" s="3422">
        <v>25980</v>
      </c>
      <c r="F37" s="3428">
        <v>8160</v>
      </c>
      <c r="G37" s="3428">
        <v>15570</v>
      </c>
      <c r="I37" s="1022"/>
      <c r="N37" s="3431" t="s">
        <v>2847</v>
      </c>
      <c r="O37" s="3459" t="s">
        <v>2861</v>
      </c>
      <c r="P37" s="3422" t="s">
        <v>2911</v>
      </c>
      <c r="Q37" s="3422" t="s">
        <v>2940</v>
      </c>
      <c r="R37" s="3422" t="s">
        <v>2968</v>
      </c>
    </row>
    <row r="38" spans="1:18" ht="14.25" customHeight="1">
      <c r="A38" s="3422" t="s">
        <v>1145</v>
      </c>
      <c r="B38" s="1288" t="s">
        <v>1033</v>
      </c>
      <c r="C38" s="3422">
        <v>23120</v>
      </c>
      <c r="D38" s="3422">
        <v>24630</v>
      </c>
      <c r="E38" s="3422">
        <v>25030</v>
      </c>
      <c r="F38" s="3428">
        <v>7710</v>
      </c>
      <c r="G38" s="3428">
        <v>17240</v>
      </c>
      <c r="I38" s="1023"/>
      <c r="N38" s="3431" t="s">
        <v>2848</v>
      </c>
      <c r="O38" s="3459" t="s">
        <v>2862</v>
      </c>
      <c r="P38" s="3422" t="s">
        <v>2912</v>
      </c>
      <c r="Q38" s="3422" t="s">
        <v>2941</v>
      </c>
      <c r="R38" s="3422" t="s">
        <v>2969</v>
      </c>
    </row>
    <row r="39" spans="1:18" ht="14.25" customHeight="1">
      <c r="A39" s="3422" t="s">
        <v>1145</v>
      </c>
      <c r="B39" s="1288" t="s">
        <v>1042</v>
      </c>
      <c r="C39" s="3422">
        <v>22330</v>
      </c>
      <c r="D39" s="3422">
        <v>21140</v>
      </c>
      <c r="E39" s="3422">
        <v>23970</v>
      </c>
      <c r="F39" s="3428">
        <v>7940</v>
      </c>
      <c r="G39" s="3428">
        <v>14790</v>
      </c>
      <c r="I39" s="1023"/>
      <c r="N39" s="3431" t="s">
        <v>2849</v>
      </c>
      <c r="O39" s="3459" t="s">
        <v>2863</v>
      </c>
      <c r="P39" s="3422" t="s">
        <v>2913</v>
      </c>
      <c r="Q39" s="3422" t="s">
        <v>2942</v>
      </c>
      <c r="R39" s="3422" t="s">
        <v>2970</v>
      </c>
    </row>
    <row r="40" spans="1:18" ht="14.25" customHeight="1">
      <c r="A40" s="3422" t="s">
        <v>1145</v>
      </c>
      <c r="B40" s="1288" t="s">
        <v>1049</v>
      </c>
      <c r="C40" s="3422">
        <v>24740</v>
      </c>
      <c r="D40" s="3422">
        <v>24690</v>
      </c>
      <c r="E40" s="3422">
        <v>22610</v>
      </c>
      <c r="F40" s="3428"/>
      <c r="G40" s="3428">
        <v>17280</v>
      </c>
      <c r="I40" s="1023"/>
      <c r="N40" s="3431" t="s">
        <v>2850</v>
      </c>
      <c r="O40" s="3459" t="s">
        <v>2864</v>
      </c>
      <c r="P40" s="3422" t="s">
        <v>2914</v>
      </c>
      <c r="Q40" s="3422" t="s">
        <v>2943</v>
      </c>
      <c r="R40" s="3422" t="s">
        <v>2971</v>
      </c>
    </row>
    <row r="41" spans="1:18" ht="14.25" customHeight="1">
      <c r="A41" s="3422" t="s">
        <v>1145</v>
      </c>
      <c r="B41" s="1288" t="s">
        <v>1056</v>
      </c>
      <c r="C41" s="3422">
        <v>21220</v>
      </c>
      <c r="D41" s="3422">
        <v>21120</v>
      </c>
      <c r="E41" s="3422">
        <v>22590</v>
      </c>
      <c r="F41" s="3428"/>
      <c r="G41" s="3428">
        <v>14780</v>
      </c>
      <c r="I41" s="1023"/>
      <c r="N41" s="3431" t="s">
        <v>2851</v>
      </c>
      <c r="O41" s="3460" t="s">
        <v>2865</v>
      </c>
      <c r="P41" s="1288" t="s">
        <v>2915</v>
      </c>
      <c r="Q41" s="3431" t="s">
        <v>2944</v>
      </c>
      <c r="R41" s="1288" t="s">
        <v>2972</v>
      </c>
    </row>
    <row r="42" spans="1:18" ht="14.25" customHeight="1">
      <c r="A42" s="3422" t="s">
        <v>1145</v>
      </c>
      <c r="B42" s="1288" t="s">
        <v>1063</v>
      </c>
      <c r="C42" s="3422">
        <v>24800</v>
      </c>
      <c r="D42" s="3422">
        <v>22280</v>
      </c>
      <c r="E42" s="3422">
        <v>24350</v>
      </c>
      <c r="F42" s="3428"/>
      <c r="G42" s="3428">
        <v>15590</v>
      </c>
      <c r="I42" s="1023"/>
      <c r="O42" s="3422" t="s">
        <v>2866</v>
      </c>
      <c r="P42" s="3422" t="s">
        <v>2916</v>
      </c>
      <c r="Q42" s="3431" t="s">
        <v>2945</v>
      </c>
      <c r="R42" s="3422" t="s">
        <v>2973</v>
      </c>
    </row>
    <row r="43" spans="1:18" ht="14.25" customHeight="1">
      <c r="A43" s="3422" t="s">
        <v>1145</v>
      </c>
      <c r="B43" s="1288" t="s">
        <v>1071</v>
      </c>
      <c r="C43" s="3422">
        <v>21210</v>
      </c>
      <c r="D43" s="3422">
        <v>21160</v>
      </c>
      <c r="E43" s="3422">
        <v>22650</v>
      </c>
      <c r="F43" s="3428"/>
      <c r="G43" s="3428">
        <v>14800</v>
      </c>
      <c r="I43" s="1023"/>
      <c r="O43" s="3422" t="s">
        <v>2867</v>
      </c>
      <c r="P43" s="3422" t="s">
        <v>2917</v>
      </c>
      <c r="Q43" s="3431" t="s">
        <v>2946</v>
      </c>
      <c r="R43" s="3422" t="s">
        <v>2974</v>
      </c>
    </row>
    <row r="44" spans="1:18" ht="14.25" customHeight="1">
      <c r="A44" s="3422" t="s">
        <v>1145</v>
      </c>
      <c r="B44" s="1288" t="s">
        <v>1079</v>
      </c>
      <c r="C44" s="3422">
        <v>22370</v>
      </c>
      <c r="D44" s="3422">
        <v>23140</v>
      </c>
      <c r="E44" s="3422">
        <v>25090</v>
      </c>
      <c r="F44" s="3428"/>
      <c r="G44" s="3428">
        <v>16190</v>
      </c>
      <c r="I44" s="1023"/>
      <c r="O44" s="3422" t="s">
        <v>2868</v>
      </c>
      <c r="P44" s="3422" t="s">
        <v>2918</v>
      </c>
      <c r="Q44" s="3431" t="s">
        <v>2947</v>
      </c>
      <c r="R44" s="3422" t="s">
        <v>2975</v>
      </c>
    </row>
    <row r="45" spans="1:18" ht="14.25" customHeight="1">
      <c r="A45" s="3422" t="s">
        <v>1145</v>
      </c>
      <c r="B45" s="1288" t="s">
        <v>1084</v>
      </c>
      <c r="C45" s="3422">
        <v>21240</v>
      </c>
      <c r="D45" s="3422">
        <v>27050</v>
      </c>
      <c r="E45" s="3422">
        <v>28000</v>
      </c>
      <c r="F45" s="3428"/>
      <c r="G45" s="3428">
        <v>18940</v>
      </c>
      <c r="I45" s="1021"/>
      <c r="O45" s="3422" t="s">
        <v>2869</v>
      </c>
      <c r="P45" s="3422" t="s">
        <v>2919</v>
      </c>
      <c r="R45" s="3422" t="s">
        <v>2976</v>
      </c>
    </row>
    <row r="46" spans="1:18" ht="14.25" customHeight="1">
      <c r="A46" s="3422" t="s">
        <v>1145</v>
      </c>
      <c r="B46" s="1288" t="s">
        <v>1093</v>
      </c>
      <c r="C46" s="3422">
        <v>23240</v>
      </c>
      <c r="D46" s="3422">
        <v>23000</v>
      </c>
      <c r="E46" s="3422">
        <v>24980</v>
      </c>
      <c r="F46" s="3428"/>
      <c r="G46" s="3428">
        <v>16100</v>
      </c>
      <c r="I46" s="1023"/>
      <c r="O46" s="3422" t="s">
        <v>2870</v>
      </c>
      <c r="P46" s="3422"/>
      <c r="R46" s="3422" t="s">
        <v>2977</v>
      </c>
    </row>
    <row r="47" spans="1:18" ht="14.25" customHeight="1">
      <c r="A47" s="3422" t="s">
        <v>1145</v>
      </c>
      <c r="B47" s="2600" t="s">
        <v>1100</v>
      </c>
      <c r="C47" s="1286">
        <v>27150</v>
      </c>
      <c r="D47" s="1286">
        <v>23310</v>
      </c>
      <c r="E47" s="1286">
        <v>25150</v>
      </c>
      <c r="F47" s="3433"/>
      <c r="G47" s="3433">
        <v>16310</v>
      </c>
      <c r="I47" s="1023"/>
      <c r="O47" s="3422" t="s">
        <v>2871</v>
      </c>
      <c r="P47" s="3422"/>
      <c r="R47" s="3431" t="s">
        <v>2978</v>
      </c>
    </row>
    <row r="48" spans="1:18" ht="14.25" customHeight="1">
      <c r="A48" s="3422" t="s">
        <v>1145</v>
      </c>
      <c r="B48" s="3422" t="s">
        <v>1108</v>
      </c>
      <c r="C48" s="3422">
        <v>23100</v>
      </c>
      <c r="D48" s="3422">
        <v>21110</v>
      </c>
      <c r="E48" s="3422">
        <v>23080</v>
      </c>
      <c r="F48" s="3428"/>
      <c r="G48" s="3435">
        <v>14780</v>
      </c>
      <c r="I48" s="1021"/>
      <c r="O48" s="3422" t="s">
        <v>2872</v>
      </c>
      <c r="P48" s="3422"/>
      <c r="R48" s="3431" t="s">
        <v>2979</v>
      </c>
    </row>
    <row r="49" spans="1:18" ht="14.25" customHeight="1">
      <c r="A49" s="3422" t="s">
        <v>1145</v>
      </c>
      <c r="B49" s="1288" t="s">
        <v>1115</v>
      </c>
      <c r="C49" s="1288">
        <v>23400</v>
      </c>
      <c r="D49" s="1288">
        <v>22920</v>
      </c>
      <c r="E49" s="1288">
        <v>24900</v>
      </c>
      <c r="F49" s="3423"/>
      <c r="G49" s="3423">
        <v>16040</v>
      </c>
      <c r="I49" s="1023"/>
      <c r="O49" s="3422" t="s">
        <v>2873</v>
      </c>
      <c r="P49" s="3422"/>
      <c r="R49" s="3431" t="s">
        <v>2980</v>
      </c>
    </row>
    <row r="50" spans="1:18" ht="14.25" customHeight="1">
      <c r="A50" s="3422" t="s">
        <v>1145</v>
      </c>
      <c r="B50" s="3422" t="s">
        <v>2822</v>
      </c>
      <c r="C50" s="3422">
        <v>21200</v>
      </c>
      <c r="D50" s="3422">
        <v>26540</v>
      </c>
      <c r="E50" s="3422">
        <v>23200</v>
      </c>
      <c r="F50" s="3428"/>
      <c r="G50" s="3428">
        <v>18580</v>
      </c>
      <c r="I50" s="1023"/>
      <c r="O50" s="3431" t="s">
        <v>2874</v>
      </c>
      <c r="R50" s="3431" t="s">
        <v>2981</v>
      </c>
    </row>
    <row r="51" spans="1:18" ht="14.25" customHeight="1">
      <c r="A51" s="3422" t="s">
        <v>1145</v>
      </c>
      <c r="B51" s="3422" t="s">
        <v>2823</v>
      </c>
      <c r="C51" s="3422">
        <v>23000</v>
      </c>
      <c r="D51" s="3422">
        <v>23460</v>
      </c>
      <c r="E51" s="3422">
        <v>25290</v>
      </c>
      <c r="F51" s="3428"/>
      <c r="G51" s="3428">
        <v>16420</v>
      </c>
      <c r="I51" s="1023"/>
      <c r="O51" s="3431" t="s">
        <v>2875</v>
      </c>
      <c r="R51" s="3431" t="s">
        <v>2982</v>
      </c>
    </row>
    <row r="52" spans="1:18" ht="14.25" customHeight="1">
      <c r="A52" s="3422" t="s">
        <v>1145</v>
      </c>
      <c r="B52" s="3422" t="s">
        <v>2824</v>
      </c>
      <c r="C52" s="3422">
        <v>26660</v>
      </c>
      <c r="D52" s="3422">
        <v>22350</v>
      </c>
      <c r="E52" s="3422">
        <v>22920</v>
      </c>
      <c r="F52" s="3428"/>
      <c r="G52" s="3428">
        <v>15640</v>
      </c>
      <c r="I52" s="1023"/>
      <c r="O52" s="3431" t="s">
        <v>2876</v>
      </c>
    </row>
    <row r="53" spans="1:18" ht="14.25" customHeight="1">
      <c r="A53" s="3422" t="s">
        <v>1145</v>
      </c>
      <c r="B53" s="3422" t="s">
        <v>2825</v>
      </c>
      <c r="C53" s="3422">
        <v>23580</v>
      </c>
      <c r="D53" s="3422"/>
      <c r="E53" s="3422">
        <v>24280</v>
      </c>
      <c r="F53" s="3428"/>
      <c r="G53" s="3428"/>
      <c r="I53" s="1023"/>
      <c r="O53" s="3431" t="s">
        <v>2877</v>
      </c>
    </row>
    <row r="54" spans="1:18" ht="14.25" customHeight="1" thickBot="1">
      <c r="A54" s="3437" t="s">
        <v>1145</v>
      </c>
      <c r="B54" s="3425" t="s">
        <v>2826</v>
      </c>
      <c r="C54" s="3425">
        <v>22460</v>
      </c>
      <c r="D54" s="3425"/>
      <c r="E54" s="3425"/>
      <c r="F54" s="3426"/>
      <c r="G54" s="3438"/>
      <c r="I54" s="1023"/>
      <c r="O54" s="3431" t="s">
        <v>2878</v>
      </c>
    </row>
    <row r="55" spans="1:18" ht="14.25" customHeight="1">
      <c r="A55" s="3436" t="s">
        <v>853</v>
      </c>
      <c r="B55" s="1288" t="s">
        <v>2827</v>
      </c>
      <c r="C55" s="1288">
        <v>21970</v>
      </c>
      <c r="D55" s="1288">
        <v>20370</v>
      </c>
      <c r="E55" s="1288">
        <v>20180</v>
      </c>
      <c r="F55" s="3423">
        <v>5730</v>
      </c>
      <c r="G55" s="3423">
        <v>13820</v>
      </c>
      <c r="I55" s="1023"/>
      <c r="O55" s="3431" t="s">
        <v>2879</v>
      </c>
    </row>
    <row r="56" spans="1:18" ht="14.25" customHeight="1">
      <c r="A56" s="3422" t="s">
        <v>853</v>
      </c>
      <c r="B56" s="3422" t="s">
        <v>975</v>
      </c>
      <c r="C56" s="3422">
        <v>20470</v>
      </c>
      <c r="D56" s="3422">
        <v>20700</v>
      </c>
      <c r="E56" s="3422">
        <v>20380</v>
      </c>
      <c r="F56" s="3428">
        <v>4760</v>
      </c>
      <c r="G56" s="3428">
        <v>14050</v>
      </c>
      <c r="I56" s="1023"/>
      <c r="O56" s="3431" t="s">
        <v>2880</v>
      </c>
    </row>
    <row r="57" spans="1:18" ht="14.25" customHeight="1">
      <c r="A57" s="3422" t="s">
        <v>853</v>
      </c>
      <c r="B57" s="3422" t="s">
        <v>985</v>
      </c>
      <c r="C57" s="3422">
        <v>20790</v>
      </c>
      <c r="D57" s="3422">
        <v>21370</v>
      </c>
      <c r="E57" s="3422">
        <v>20890</v>
      </c>
      <c r="F57" s="3428">
        <v>4910</v>
      </c>
      <c r="G57" s="3428">
        <v>14510</v>
      </c>
      <c r="I57" s="1023"/>
      <c r="O57" s="3431" t="s">
        <v>2881</v>
      </c>
    </row>
    <row r="58" spans="1:18" ht="14.25" customHeight="1">
      <c r="A58" s="3422" t="s">
        <v>853</v>
      </c>
      <c r="B58" s="3422" t="s">
        <v>994</v>
      </c>
      <c r="C58" s="3422">
        <v>21460</v>
      </c>
      <c r="D58" s="3422">
        <v>20920</v>
      </c>
      <c r="E58" s="3422">
        <v>23410</v>
      </c>
      <c r="F58" s="3428">
        <v>5100</v>
      </c>
      <c r="G58" s="3428">
        <v>14200</v>
      </c>
      <c r="I58" s="1023"/>
      <c r="O58" s="3431" t="s">
        <v>2882</v>
      </c>
    </row>
    <row r="59" spans="1:18" ht="14.25" customHeight="1">
      <c r="A59" s="3422" t="s">
        <v>853</v>
      </c>
      <c r="B59" s="3422" t="s">
        <v>1004</v>
      </c>
      <c r="C59" s="3422">
        <v>21000</v>
      </c>
      <c r="D59" s="3422">
        <v>21550</v>
      </c>
      <c r="E59" s="3422">
        <v>21150</v>
      </c>
      <c r="F59" s="3428">
        <v>5250</v>
      </c>
      <c r="G59" s="3428">
        <v>14630</v>
      </c>
      <c r="I59" s="1023"/>
      <c r="O59" s="3431" t="s">
        <v>2883</v>
      </c>
    </row>
    <row r="60" spans="1:18" ht="14.25" customHeight="1">
      <c r="A60" s="3422" t="s">
        <v>853</v>
      </c>
      <c r="B60" s="3422" t="s">
        <v>1011</v>
      </c>
      <c r="C60" s="3422">
        <v>21640</v>
      </c>
      <c r="D60" s="3422">
        <v>21260</v>
      </c>
      <c r="E60" s="3422">
        <v>24040</v>
      </c>
      <c r="F60" s="3428">
        <v>4470</v>
      </c>
      <c r="G60" s="3428">
        <v>14430</v>
      </c>
      <c r="I60" s="1023"/>
      <c r="O60" s="3431" t="s">
        <v>2884</v>
      </c>
    </row>
    <row r="61" spans="1:18" ht="14.25" customHeight="1">
      <c r="A61" s="3422" t="s">
        <v>853</v>
      </c>
      <c r="B61" s="3422" t="s">
        <v>1017</v>
      </c>
      <c r="C61" s="3422">
        <v>21330</v>
      </c>
      <c r="D61" s="3422">
        <v>18640</v>
      </c>
      <c r="E61" s="3422">
        <v>21190</v>
      </c>
      <c r="F61" s="3428">
        <v>4180</v>
      </c>
      <c r="G61" s="3430">
        <v>12650</v>
      </c>
      <c r="I61" s="1023"/>
      <c r="O61" s="3431" t="s">
        <v>2885</v>
      </c>
    </row>
    <row r="62" spans="1:18" ht="14.25" customHeight="1">
      <c r="A62" s="3422" t="s">
        <v>853</v>
      </c>
      <c r="B62" s="3422" t="s">
        <v>1024</v>
      </c>
      <c r="C62" s="3422">
        <v>18710</v>
      </c>
      <c r="D62" s="3422">
        <v>19400</v>
      </c>
      <c r="E62" s="3422">
        <v>23750</v>
      </c>
      <c r="F62" s="3428">
        <v>4860</v>
      </c>
      <c r="G62" s="3430">
        <v>13170</v>
      </c>
      <c r="I62" s="1023"/>
      <c r="O62" s="3431" t="s">
        <v>2886</v>
      </c>
    </row>
    <row r="63" spans="1:18" ht="14.25" customHeight="1">
      <c r="A63" s="3422" t="s">
        <v>853</v>
      </c>
      <c r="B63" s="3422" t="s">
        <v>1034</v>
      </c>
      <c r="C63" s="3422">
        <v>19480</v>
      </c>
      <c r="D63" s="3422">
        <v>16830</v>
      </c>
      <c r="E63" s="3422">
        <v>21590</v>
      </c>
      <c r="F63" s="3428">
        <v>4560</v>
      </c>
      <c r="G63" s="3430">
        <v>11420</v>
      </c>
      <c r="I63" s="1023"/>
      <c r="O63" s="3431" t="s">
        <v>2887</v>
      </c>
    </row>
    <row r="64" spans="1:18" ht="14.25" customHeight="1">
      <c r="A64" s="3422" t="s">
        <v>853</v>
      </c>
      <c r="B64" s="3422" t="s">
        <v>1043</v>
      </c>
      <c r="C64" s="3422">
        <v>16920</v>
      </c>
      <c r="D64" s="3422">
        <v>19190</v>
      </c>
      <c r="E64" s="3422">
        <v>22200</v>
      </c>
      <c r="F64" s="3428">
        <v>4390</v>
      </c>
      <c r="G64" s="3430">
        <v>13030</v>
      </c>
      <c r="I64" s="1023"/>
      <c r="O64" s="3431" t="s">
        <v>2888</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2828</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2829</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2830</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2831</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2832</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2833</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2834</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2835</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2836</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2837</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2838</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2839</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2840</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2841</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2842</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2843</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2844</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2845</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2846</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2847</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2848</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2849</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2850</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2851</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2852</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2853</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2854</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2855</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2856</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2857</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2858</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2859</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2860</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2861</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2862</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2863</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2864</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2865</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2866</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2867</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2868</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2869</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2870</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2871</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2872</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2873</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2874</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2875</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2876</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2877</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2878</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2879</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2880</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2881</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2882</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2883</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2884</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2885</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2886</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2887</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2888</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2889</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2890</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2891</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2892</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2893</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2894</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2895</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2896</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2897</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2898</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2899</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2900</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2901</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2902</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2903</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2904</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2905</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2906</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2907</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2908</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2909</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2910</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2911</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2912</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2913</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2914</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2915</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2916</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2917</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2918</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2919</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2920</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2921</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2922</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2923</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2924</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2925</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2926</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2927</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2928</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2929</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2930</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2931</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2932</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2933</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2934</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2935</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2936</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2937</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2938</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2939</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2940</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2941</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2942</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2943</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2944</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2945</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2946</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2947</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2948</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2949</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2950</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2951</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2952</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2953</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2954</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2955</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2956</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2957</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2958</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2959</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2960</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2961</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2962</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2963</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2964</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2965</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2966</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2967</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2968</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2969</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2970</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2971</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2972</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2973</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2974</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2975</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2976</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2977</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2978</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2979</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2980</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2981</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2982</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2983</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2984</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2985</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2986</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2987</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2988</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2989</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2990</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2991</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2992</v>
      </c>
      <c r="C345" s="3431">
        <v>3190</v>
      </c>
      <c r="D345" s="3431">
        <v>3140</v>
      </c>
      <c r="E345" s="3431">
        <v>3450</v>
      </c>
      <c r="F345" s="3431">
        <v>720</v>
      </c>
      <c r="G345" s="3431">
        <v>1880</v>
      </c>
      <c r="H345" s="3444"/>
    </row>
    <row r="346" spans="1:21">
      <c r="A346" s="3431" t="s">
        <v>1157</v>
      </c>
      <c r="B346" s="3431" t="s">
        <v>2993</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2994</v>
      </c>
      <c r="C348" s="3431">
        <v>4000</v>
      </c>
      <c r="D348" s="3431">
        <v>3950</v>
      </c>
      <c r="E348" s="3431">
        <v>4430</v>
      </c>
      <c r="F348" s="3431">
        <v>760</v>
      </c>
      <c r="G348" s="3431">
        <v>2360</v>
      </c>
      <c r="H348" s="3444"/>
    </row>
    <row r="349" spans="1:21">
      <c r="A349" s="3431" t="s">
        <v>1157</v>
      </c>
      <c r="B349" s="3431" t="s">
        <v>2995</v>
      </c>
      <c r="C349" s="3431">
        <v>3820</v>
      </c>
      <c r="D349" s="3431">
        <v>3780</v>
      </c>
      <c r="E349" s="3431">
        <v>4170</v>
      </c>
      <c r="F349" s="3431">
        <v>710</v>
      </c>
      <c r="G349" s="3431">
        <v>2260</v>
      </c>
      <c r="H349" s="3444"/>
    </row>
    <row r="350" spans="1:21">
      <c r="A350" s="3431" t="s">
        <v>1157</v>
      </c>
      <c r="B350" s="3431" t="s">
        <v>2996</v>
      </c>
      <c r="C350" s="3431">
        <v>3760</v>
      </c>
      <c r="D350" s="3431">
        <v>3730</v>
      </c>
      <c r="E350" s="3431">
        <v>4100</v>
      </c>
      <c r="F350" s="3431">
        <v>800</v>
      </c>
      <c r="G350" s="3431">
        <v>2230</v>
      </c>
      <c r="H350" s="3444"/>
    </row>
    <row r="351" spans="1:21">
      <c r="A351" s="3431" t="s">
        <v>1157</v>
      </c>
      <c r="B351" s="3431" t="s">
        <v>2997</v>
      </c>
      <c r="C351" s="3431">
        <v>3610</v>
      </c>
      <c r="D351" s="3431">
        <v>3580</v>
      </c>
      <c r="E351" s="3431">
        <v>3930</v>
      </c>
      <c r="F351" s="3431">
        <v>700</v>
      </c>
      <c r="G351" s="3431">
        <v>2140</v>
      </c>
      <c r="H351" s="3444"/>
    </row>
    <row r="352" spans="1:21">
      <c r="A352" s="3431" t="s">
        <v>1157</v>
      </c>
      <c r="B352" s="3431" t="s">
        <v>2998</v>
      </c>
      <c r="C352" s="3431">
        <v>3670</v>
      </c>
      <c r="D352" s="3431">
        <v>3630</v>
      </c>
      <c r="E352" s="3431">
        <v>4000</v>
      </c>
      <c r="F352" s="3431">
        <v>750</v>
      </c>
      <c r="G352" s="3431">
        <v>2180</v>
      </c>
      <c r="H352" s="3444"/>
    </row>
    <row r="353" spans="1:8">
      <c r="A353" s="3431" t="s">
        <v>1157</v>
      </c>
      <c r="B353" s="3431" t="s">
        <v>2999</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3000</v>
      </c>
      <c r="C355" s="3431">
        <v>3650</v>
      </c>
      <c r="D355" s="3431">
        <v>3610</v>
      </c>
      <c r="E355" s="3431">
        <v>4200</v>
      </c>
      <c r="F355" s="3431">
        <v>640</v>
      </c>
      <c r="G355" s="3431">
        <v>2160</v>
      </c>
      <c r="H355" s="3444"/>
    </row>
    <row r="356" spans="1:8">
      <c r="A356" s="3431" t="s">
        <v>1157</v>
      </c>
      <c r="B356" s="3431" t="s">
        <v>3001</v>
      </c>
      <c r="C356" s="3431">
        <v>3260</v>
      </c>
      <c r="D356" s="3431">
        <v>3230</v>
      </c>
      <c r="E356" s="3431">
        <v>3740</v>
      </c>
      <c r="F356" s="3431">
        <v>600</v>
      </c>
      <c r="G356" s="3431">
        <v>1930</v>
      </c>
      <c r="H356" s="3444"/>
    </row>
    <row r="357" spans="1:8" ht="14.25" thickBot="1">
      <c r="A357" s="3447" t="s">
        <v>1157</v>
      </c>
      <c r="B357" s="3447" t="s">
        <v>3002</v>
      </c>
      <c r="C357" s="3447">
        <v>3690</v>
      </c>
      <c r="D357" s="3447">
        <v>3650</v>
      </c>
      <c r="E357" s="3447">
        <v>4020</v>
      </c>
      <c r="F357" s="3447">
        <v>700</v>
      </c>
      <c r="G357" s="3447">
        <v>2190</v>
      </c>
      <c r="H357" s="3444"/>
    </row>
    <row r="358" spans="1:8">
      <c r="A358" s="3448" t="s">
        <v>2757</v>
      </c>
      <c r="B358" s="3449" t="s">
        <v>3003</v>
      </c>
      <c r="C358" s="3449">
        <v>2080</v>
      </c>
      <c r="D358" s="3449">
        <v>2040</v>
      </c>
      <c r="E358" s="3449">
        <v>2010</v>
      </c>
      <c r="F358" s="3449">
        <v>530</v>
      </c>
      <c r="G358" s="3450">
        <v>1230</v>
      </c>
      <c r="H358" s="3444"/>
    </row>
    <row r="359" spans="1:8">
      <c r="A359" s="3451" t="s">
        <v>2757</v>
      </c>
      <c r="B359" s="3431" t="s">
        <v>3004</v>
      </c>
      <c r="C359" s="3431">
        <v>1850</v>
      </c>
      <c r="D359" s="3431">
        <v>1820</v>
      </c>
      <c r="E359" s="3431">
        <v>1780</v>
      </c>
      <c r="F359" s="3431">
        <v>520</v>
      </c>
      <c r="G359" s="3443">
        <v>1100</v>
      </c>
      <c r="H359" s="3444"/>
    </row>
    <row r="360" spans="1:8">
      <c r="A360" s="3451" t="s">
        <v>2757</v>
      </c>
      <c r="B360" s="3431" t="s">
        <v>3005</v>
      </c>
      <c r="C360" s="3431">
        <v>2020</v>
      </c>
      <c r="D360" s="3431">
        <v>1990</v>
      </c>
      <c r="E360" s="3431">
        <v>1950</v>
      </c>
      <c r="F360" s="3431">
        <v>500</v>
      </c>
      <c r="G360" s="3443">
        <v>1200</v>
      </c>
      <c r="H360" s="3444"/>
    </row>
    <row r="361" spans="1:8">
      <c r="A361" s="3451" t="s">
        <v>2757</v>
      </c>
      <c r="B361" s="3431" t="s">
        <v>999</v>
      </c>
      <c r="C361" s="3431">
        <v>2260</v>
      </c>
      <c r="D361" s="3431">
        <v>2220</v>
      </c>
      <c r="E361" s="3431">
        <v>2180</v>
      </c>
      <c r="F361" s="3431">
        <v>580</v>
      </c>
      <c r="G361" s="3443">
        <v>1340</v>
      </c>
      <c r="H361" s="3444"/>
    </row>
    <row r="362" spans="1:8">
      <c r="A362" s="3451" t="s">
        <v>2757</v>
      </c>
      <c r="B362" s="3431" t="s">
        <v>3006</v>
      </c>
      <c r="C362" s="3431">
        <v>2650</v>
      </c>
      <c r="D362" s="3431">
        <v>2610</v>
      </c>
      <c r="E362" s="3431">
        <v>2570</v>
      </c>
      <c r="F362" s="3431">
        <v>630</v>
      </c>
      <c r="G362" s="3443">
        <v>1570</v>
      </c>
      <c r="H362" s="3444"/>
    </row>
    <row r="363" spans="1:8">
      <c r="A363" s="3451" t="s">
        <v>2757</v>
      </c>
      <c r="B363" s="3431" t="s">
        <v>3007</v>
      </c>
      <c r="C363" s="3431">
        <v>2390</v>
      </c>
      <c r="D363" s="3431">
        <v>2360</v>
      </c>
      <c r="E363" s="3431">
        <v>2320</v>
      </c>
      <c r="F363" s="3431">
        <v>600</v>
      </c>
      <c r="G363" s="3443">
        <v>1420</v>
      </c>
      <c r="H363" s="3444"/>
    </row>
    <row r="364" spans="1:8">
      <c r="A364" s="3451" t="s">
        <v>2757</v>
      </c>
      <c r="B364" s="3431" t="s">
        <v>3008</v>
      </c>
      <c r="C364" s="3431">
        <v>2050</v>
      </c>
      <c r="D364" s="3431">
        <v>2030</v>
      </c>
      <c r="E364" s="3431">
        <v>1990</v>
      </c>
      <c r="F364" s="3431">
        <v>550</v>
      </c>
      <c r="G364" s="3443">
        <v>1220</v>
      </c>
      <c r="H364" s="3444"/>
    </row>
    <row r="365" spans="1:8">
      <c r="A365" s="3451" t="s">
        <v>2757</v>
      </c>
      <c r="B365" s="3431" t="s">
        <v>1047</v>
      </c>
      <c r="C365" s="3431">
        <v>2140</v>
      </c>
      <c r="D365" s="3431">
        <v>2100</v>
      </c>
      <c r="E365" s="3431">
        <v>2060</v>
      </c>
      <c r="F365" s="3431">
        <v>540</v>
      </c>
      <c r="G365" s="3443">
        <v>1270</v>
      </c>
      <c r="H365" s="3444"/>
    </row>
    <row r="366" spans="1:8">
      <c r="A366" s="3451" t="s">
        <v>2757</v>
      </c>
      <c r="B366" s="3431" t="s">
        <v>3009</v>
      </c>
      <c r="C366" s="3431">
        <v>2410</v>
      </c>
      <c r="D366" s="3431">
        <v>2370</v>
      </c>
      <c r="E366" s="3431">
        <v>2330</v>
      </c>
      <c r="F366" s="3431">
        <v>570</v>
      </c>
      <c r="G366" s="3443">
        <v>1440</v>
      </c>
      <c r="H366" s="3444"/>
    </row>
    <row r="367" spans="1:8">
      <c r="A367" s="3451" t="s">
        <v>2757</v>
      </c>
      <c r="B367" s="3431" t="s">
        <v>3010</v>
      </c>
      <c r="C367" s="3431">
        <v>2300</v>
      </c>
      <c r="D367" s="3431">
        <v>2260</v>
      </c>
      <c r="E367" s="3431">
        <v>2220</v>
      </c>
      <c r="F367" s="3431">
        <v>560</v>
      </c>
      <c r="G367" s="3443">
        <v>1370</v>
      </c>
      <c r="H367" s="3444"/>
    </row>
    <row r="368" spans="1:8">
      <c r="A368" s="3451" t="s">
        <v>2757</v>
      </c>
      <c r="B368" s="3431" t="s">
        <v>3011</v>
      </c>
      <c r="C368" s="3431">
        <v>2430</v>
      </c>
      <c r="D368" s="3431">
        <v>2390</v>
      </c>
      <c r="E368" s="3431">
        <v>2350</v>
      </c>
      <c r="F368" s="3431">
        <v>570</v>
      </c>
      <c r="G368" s="3443">
        <v>1450</v>
      </c>
      <c r="H368" s="3444"/>
    </row>
    <row r="369" spans="1:8">
      <c r="A369" s="3451" t="s">
        <v>2757</v>
      </c>
      <c r="B369" s="3431" t="s">
        <v>1061</v>
      </c>
      <c r="C369" s="3431">
        <v>2320</v>
      </c>
      <c r="D369" s="3431">
        <v>2290</v>
      </c>
      <c r="E369" s="3431">
        <v>2250</v>
      </c>
      <c r="F369" s="3431">
        <v>550</v>
      </c>
      <c r="G369" s="3443">
        <v>1380</v>
      </c>
      <c r="H369" s="3444"/>
    </row>
    <row r="370" spans="1:8">
      <c r="A370" s="3451" t="s">
        <v>2757</v>
      </c>
      <c r="B370" s="3431" t="s">
        <v>1069</v>
      </c>
      <c r="C370" s="3431">
        <v>2190</v>
      </c>
      <c r="D370" s="3431">
        <v>2170</v>
      </c>
      <c r="E370" s="3431">
        <v>2130</v>
      </c>
      <c r="F370" s="3431">
        <v>530</v>
      </c>
      <c r="G370" s="3443">
        <v>1310</v>
      </c>
      <c r="H370" s="3444"/>
    </row>
    <row r="371" spans="1:8">
      <c r="A371" s="3451" t="s">
        <v>2757</v>
      </c>
      <c r="B371" s="3431" t="s">
        <v>1077</v>
      </c>
      <c r="C371" s="3431">
        <v>2460</v>
      </c>
      <c r="D371" s="3431">
        <v>2420</v>
      </c>
      <c r="E371" s="3431">
        <v>2370</v>
      </c>
      <c r="F371" s="3431">
        <v>560</v>
      </c>
      <c r="G371" s="3443">
        <v>1470</v>
      </c>
      <c r="H371" s="3444"/>
    </row>
    <row r="372" spans="1:8">
      <c r="A372" s="3451" t="s">
        <v>2757</v>
      </c>
      <c r="B372" s="3431" t="s">
        <v>3012</v>
      </c>
      <c r="C372" s="3431">
        <v>2250</v>
      </c>
      <c r="D372" s="3431">
        <v>2210</v>
      </c>
      <c r="E372" s="3431">
        <v>2180</v>
      </c>
      <c r="F372" s="3431">
        <v>550</v>
      </c>
      <c r="G372" s="3443">
        <v>1340</v>
      </c>
      <c r="H372" s="3444"/>
    </row>
    <row r="373" spans="1:8">
      <c r="A373" s="3451" t="s">
        <v>2757</v>
      </c>
      <c r="B373" s="3431" t="s">
        <v>1106</v>
      </c>
      <c r="C373" s="3431">
        <v>2210</v>
      </c>
      <c r="D373" s="3431">
        <v>2190</v>
      </c>
      <c r="E373" s="3431">
        <v>2150</v>
      </c>
      <c r="F373" s="3431">
        <v>530</v>
      </c>
      <c r="G373" s="3443">
        <v>1320</v>
      </c>
      <c r="H373" s="3444"/>
    </row>
    <row r="374" spans="1:8">
      <c r="A374" s="3451" t="s">
        <v>2757</v>
      </c>
      <c r="B374" s="3431" t="s">
        <v>1114</v>
      </c>
      <c r="C374" s="3431">
        <v>2320</v>
      </c>
      <c r="D374" s="3431">
        <v>2280</v>
      </c>
      <c r="E374" s="3431">
        <v>2230</v>
      </c>
      <c r="F374" s="3431">
        <v>580</v>
      </c>
      <c r="G374" s="3443">
        <v>1380</v>
      </c>
      <c r="H374" s="3444"/>
    </row>
    <row r="375" spans="1:8">
      <c r="A375" s="3451" t="s">
        <v>2757</v>
      </c>
      <c r="B375" s="3431" t="s">
        <v>3013</v>
      </c>
      <c r="C375" s="3431">
        <v>2090</v>
      </c>
      <c r="D375" s="3431">
        <v>2050</v>
      </c>
      <c r="E375" s="3431">
        <v>2020</v>
      </c>
      <c r="F375" s="3431">
        <v>520</v>
      </c>
      <c r="G375" s="3443">
        <v>1240</v>
      </c>
      <c r="H375" s="3444"/>
    </row>
    <row r="376" spans="1:8">
      <c r="A376" s="3451" t="s">
        <v>2757</v>
      </c>
      <c r="B376" s="3431" t="s">
        <v>1126</v>
      </c>
      <c r="C376" s="3431">
        <v>2010</v>
      </c>
      <c r="D376" s="3431">
        <v>1980</v>
      </c>
      <c r="E376" s="3431">
        <v>1940</v>
      </c>
      <c r="F376" s="3431">
        <v>540</v>
      </c>
      <c r="G376" s="3443">
        <v>1190</v>
      </c>
      <c r="H376" s="3444"/>
    </row>
    <row r="377" spans="1:8" ht="14.25" thickBot="1">
      <c r="A377" s="3453" t="s">
        <v>2757</v>
      </c>
      <c r="B377" s="3447" t="s">
        <v>3014</v>
      </c>
      <c r="C377" s="3447">
        <v>1930</v>
      </c>
      <c r="D377" s="3447">
        <v>1890</v>
      </c>
      <c r="E377" s="3447">
        <v>1860</v>
      </c>
      <c r="F377" s="3447">
        <v>530</v>
      </c>
      <c r="G377" s="3454">
        <v>1150</v>
      </c>
      <c r="H377" s="3444"/>
    </row>
    <row r="378" spans="1:8">
      <c r="A378" s="3448" t="s">
        <v>2758</v>
      </c>
      <c r="B378" s="3449" t="s">
        <v>3015</v>
      </c>
      <c r="C378" s="3449">
        <v>1520</v>
      </c>
      <c r="D378" s="3449">
        <v>1490</v>
      </c>
      <c r="E378" s="3449">
        <v>1460</v>
      </c>
      <c r="F378" s="3449">
        <v>460</v>
      </c>
      <c r="G378" s="3450">
        <v>940</v>
      </c>
      <c r="H378" s="3444"/>
    </row>
    <row r="379" spans="1:8">
      <c r="A379" s="3451" t="s">
        <v>2758</v>
      </c>
      <c r="B379" s="3431" t="s">
        <v>3016</v>
      </c>
      <c r="C379" s="3431">
        <v>1500</v>
      </c>
      <c r="D379" s="3431">
        <v>1470</v>
      </c>
      <c r="E379" s="3431">
        <v>1430</v>
      </c>
      <c r="F379" s="3431">
        <v>460</v>
      </c>
      <c r="G379" s="3443">
        <v>920</v>
      </c>
      <c r="H379" s="3444"/>
    </row>
    <row r="380" spans="1:8">
      <c r="A380" s="3451" t="s">
        <v>2758</v>
      </c>
      <c r="B380" s="3431" t="s">
        <v>3017</v>
      </c>
      <c r="C380" s="3431">
        <v>1620</v>
      </c>
      <c r="D380" s="3431">
        <v>1590</v>
      </c>
      <c r="E380" s="3431">
        <v>1560</v>
      </c>
      <c r="F380" s="3431">
        <v>480</v>
      </c>
      <c r="G380" s="3443">
        <v>1000</v>
      </c>
      <c r="H380" s="3444"/>
    </row>
    <row r="381" spans="1:8">
      <c r="A381" s="3451" t="s">
        <v>2758</v>
      </c>
      <c r="B381" s="3431" t="s">
        <v>3018</v>
      </c>
      <c r="C381" s="3431">
        <v>1460</v>
      </c>
      <c r="D381" s="3431">
        <v>1430</v>
      </c>
      <c r="E381" s="3431">
        <v>1390</v>
      </c>
      <c r="F381" s="3431">
        <v>450</v>
      </c>
      <c r="G381" s="3443">
        <v>900</v>
      </c>
      <c r="H381" s="3444"/>
    </row>
    <row r="382" spans="1:8">
      <c r="A382" s="3451" t="s">
        <v>2758</v>
      </c>
      <c r="B382" s="3431" t="s">
        <v>3019</v>
      </c>
      <c r="C382" s="3431">
        <v>1310</v>
      </c>
      <c r="D382" s="3431">
        <v>1280</v>
      </c>
      <c r="E382" s="3431">
        <v>1250</v>
      </c>
      <c r="F382" s="3431">
        <v>440</v>
      </c>
      <c r="G382" s="3443">
        <v>800</v>
      </c>
      <c r="H382" s="3444"/>
    </row>
    <row r="383" spans="1:8">
      <c r="A383" s="3451" t="s">
        <v>2758</v>
      </c>
      <c r="B383" s="3431" t="s">
        <v>3020</v>
      </c>
      <c r="C383" s="3431">
        <v>1260</v>
      </c>
      <c r="D383" s="3431">
        <v>1230</v>
      </c>
      <c r="E383" s="3431">
        <v>1200</v>
      </c>
      <c r="F383" s="3431">
        <v>420</v>
      </c>
      <c r="G383" s="3443">
        <v>770</v>
      </c>
      <c r="H383" s="3444"/>
    </row>
    <row r="384" spans="1:8" ht="14.25" thickBot="1">
      <c r="A384" s="3452" t="s">
        <v>2758</v>
      </c>
      <c r="B384" s="3446" t="s">
        <v>3021</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9" t="s">
        <v>3184</v>
      </c>
      <c r="B1" s="3989"/>
      <c r="C1" s="3989"/>
      <c r="D1" s="3989"/>
      <c r="E1" s="3989"/>
      <c r="F1" s="3990"/>
    </row>
    <row r="2" spans="1:6">
      <c r="A2" s="3498" t="s">
        <v>3185</v>
      </c>
      <c r="B2" s="3499"/>
      <c r="C2" s="3499"/>
      <c r="D2" s="3499"/>
      <c r="E2" s="3499"/>
      <c r="F2" s="3499"/>
    </row>
    <row r="3" spans="1:6">
      <c r="A3" s="3498" t="s">
        <v>3186</v>
      </c>
      <c r="B3" s="3499"/>
      <c r="C3" s="3499"/>
      <c r="D3" s="3499"/>
      <c r="E3" s="3499"/>
      <c r="F3" s="3500" t="s">
        <v>3187</v>
      </c>
    </row>
    <row r="4" spans="1:6">
      <c r="A4" s="3501" t="s">
        <v>3182</v>
      </c>
      <c r="B4" s="3501" t="s">
        <v>2733</v>
      </c>
      <c r="C4" s="3501" t="s">
        <v>1212</v>
      </c>
      <c r="D4" s="3501" t="s">
        <v>3183</v>
      </c>
      <c r="E4" s="3501" t="s">
        <v>905</v>
      </c>
      <c r="F4" s="3501" t="s">
        <v>3188</v>
      </c>
    </row>
    <row r="5" spans="1:6">
      <c r="A5" s="3502" t="s">
        <v>2756</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2757</v>
      </c>
      <c r="B16" s="3504">
        <v>2230</v>
      </c>
      <c r="C16" s="3504">
        <v>2200</v>
      </c>
      <c r="D16" s="3504">
        <v>2180</v>
      </c>
      <c r="E16" s="3504">
        <v>570</v>
      </c>
      <c r="F16" s="3504">
        <v>1330</v>
      </c>
    </row>
    <row r="17" spans="1:6">
      <c r="A17" s="3502" t="s">
        <v>2758</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2770</v>
      </c>
      <c r="B1" s="969"/>
      <c r="C1" s="969"/>
      <c r="D1" s="969"/>
      <c r="E1" s="969"/>
      <c r="F1" s="969"/>
      <c r="G1" s="969"/>
      <c r="H1" s="969"/>
      <c r="I1" s="969"/>
      <c r="J1" s="969"/>
      <c r="K1" s="969"/>
      <c r="L1" s="969"/>
      <c r="M1" s="969"/>
      <c r="N1" s="969"/>
    </row>
    <row r="2" spans="1:14">
      <c r="A2" s="971" t="s">
        <v>1549</v>
      </c>
      <c r="B2" s="972" t="s">
        <v>990</v>
      </c>
      <c r="C2" s="972" t="s">
        <v>1031</v>
      </c>
      <c r="D2" s="972" t="s">
        <v>1145</v>
      </c>
      <c r="E2" s="972" t="s">
        <v>853</v>
      </c>
      <c r="F2" s="972" t="s">
        <v>1152</v>
      </c>
      <c r="G2" s="972" t="s">
        <v>1153</v>
      </c>
      <c r="H2" s="973" t="s">
        <v>1154</v>
      </c>
      <c r="I2" s="973" t="s">
        <v>1155</v>
      </c>
      <c r="J2" s="974" t="s">
        <v>1156</v>
      </c>
      <c r="K2" s="974" t="s">
        <v>1157</v>
      </c>
      <c r="L2" s="974" t="s">
        <v>2757</v>
      </c>
      <c r="M2" s="974" t="s">
        <v>2758</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2771</v>
      </c>
      <c r="B93" s="980"/>
      <c r="C93" s="980"/>
      <c r="D93" s="980"/>
      <c r="E93" s="980"/>
      <c r="F93" s="980"/>
      <c r="G93" s="980"/>
      <c r="H93" s="980"/>
      <c r="I93" s="980"/>
      <c r="J93" s="980"/>
      <c r="K93" s="980"/>
      <c r="L93" s="980"/>
      <c r="M93" s="980"/>
    </row>
    <row r="94" spans="1:14">
      <c r="A94" s="988" t="s">
        <v>1549</v>
      </c>
      <c r="B94" s="980" t="s">
        <v>990</v>
      </c>
      <c r="C94" s="980" t="s">
        <v>1031</v>
      </c>
      <c r="D94" s="980" t="s">
        <v>1145</v>
      </c>
      <c r="E94" s="980" t="s">
        <v>853</v>
      </c>
      <c r="F94" s="980" t="s">
        <v>1152</v>
      </c>
      <c r="G94" s="980" t="s">
        <v>1153</v>
      </c>
      <c r="H94" s="980" t="s">
        <v>1154</v>
      </c>
      <c r="I94" s="980" t="s">
        <v>1155</v>
      </c>
      <c r="J94" s="980" t="s">
        <v>1156</v>
      </c>
      <c r="K94" s="980" t="s">
        <v>1157</v>
      </c>
      <c r="L94" s="980" t="s">
        <v>2757</v>
      </c>
      <c r="M94" s="980" t="s">
        <v>2758</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2772</v>
      </c>
      <c r="B185" s="980"/>
      <c r="C185" s="980"/>
      <c r="D185" s="980"/>
      <c r="E185" s="980"/>
      <c r="F185" s="980"/>
      <c r="G185" s="980"/>
      <c r="H185" s="980"/>
      <c r="I185" s="980"/>
      <c r="J185" s="980"/>
      <c r="K185" s="980"/>
      <c r="L185" s="980"/>
      <c r="M185" s="980"/>
    </row>
    <row r="186" spans="1:13">
      <c r="A186" s="971" t="s">
        <v>1549</v>
      </c>
      <c r="B186" s="980" t="s">
        <v>990</v>
      </c>
      <c r="C186" s="980" t="s">
        <v>1031</v>
      </c>
      <c r="D186" s="980" t="s">
        <v>1145</v>
      </c>
      <c r="E186" s="980" t="s">
        <v>853</v>
      </c>
      <c r="F186" s="980" t="s">
        <v>1152</v>
      </c>
      <c r="G186" s="980" t="s">
        <v>1153</v>
      </c>
      <c r="H186" s="980" t="s">
        <v>1154</v>
      </c>
      <c r="I186" s="980" t="s">
        <v>1155</v>
      </c>
      <c r="J186" s="980" t="s">
        <v>1156</v>
      </c>
      <c r="K186" s="980" t="s">
        <v>1157</v>
      </c>
      <c r="L186" s="980" t="s">
        <v>2757</v>
      </c>
      <c r="M186" s="980" t="s">
        <v>2758</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2773</v>
      </c>
      <c r="B277" s="980"/>
      <c r="C277" s="980"/>
      <c r="D277" s="980"/>
      <c r="E277" s="980"/>
      <c r="F277" s="980"/>
      <c r="G277" s="980"/>
      <c r="H277" s="980"/>
      <c r="I277" s="980"/>
      <c r="J277" s="980"/>
      <c r="K277" s="980"/>
      <c r="L277" s="980"/>
      <c r="M277" s="980"/>
    </row>
    <row r="278" spans="1:13">
      <c r="A278" s="971" t="s">
        <v>1549</v>
      </c>
      <c r="B278" s="980" t="s">
        <v>990</v>
      </c>
      <c r="C278" s="980" t="s">
        <v>1031</v>
      </c>
      <c r="D278" s="980" t="s">
        <v>1145</v>
      </c>
      <c r="E278" s="980" t="s">
        <v>853</v>
      </c>
      <c r="F278" s="980" t="s">
        <v>1152</v>
      </c>
      <c r="G278" s="980" t="s">
        <v>1153</v>
      </c>
      <c r="H278" s="980" t="s">
        <v>1154</v>
      </c>
      <c r="I278" s="980" t="s">
        <v>1155</v>
      </c>
      <c r="J278" s="980" t="s">
        <v>1156</v>
      </c>
      <c r="K278" s="980" t="s">
        <v>1157</v>
      </c>
      <c r="L278" s="980" t="s">
        <v>2757</v>
      </c>
      <c r="M278" s="980" t="s">
        <v>2758</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2774</v>
      </c>
      <c r="B369" s="980"/>
      <c r="C369" s="980"/>
      <c r="D369" s="980"/>
      <c r="E369" s="980"/>
      <c r="F369" s="980"/>
      <c r="G369" s="980"/>
      <c r="H369" s="980"/>
      <c r="I369" s="980"/>
      <c r="J369" s="980"/>
      <c r="K369" s="980"/>
      <c r="L369" s="980"/>
      <c r="M369" s="980"/>
    </row>
    <row r="370" spans="1:14">
      <c r="A370" s="971" t="s">
        <v>1549</v>
      </c>
      <c r="B370" s="980" t="s">
        <v>990</v>
      </c>
      <c r="C370" s="980" t="s">
        <v>1031</v>
      </c>
      <c r="D370" s="980" t="s">
        <v>1145</v>
      </c>
      <c r="E370" s="980" t="s">
        <v>853</v>
      </c>
      <c r="F370" s="980" t="s">
        <v>1152</v>
      </c>
      <c r="G370" s="980" t="s">
        <v>1153</v>
      </c>
      <c r="H370" s="980" t="s">
        <v>1154</v>
      </c>
      <c r="I370" s="980" t="s">
        <v>1155</v>
      </c>
      <c r="J370" s="980" t="s">
        <v>1156</v>
      </c>
      <c r="K370" s="980" t="s">
        <v>1157</v>
      </c>
      <c r="L370" s="980" t="s">
        <v>2757</v>
      </c>
      <c r="M370" s="980" t="s">
        <v>2758</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91" t="s">
        <v>3022</v>
      </c>
      <c r="B1" s="3991"/>
    </row>
    <row r="2" spans="1:7" ht="14.25" thickBot="1">
      <c r="A2" s="3463"/>
      <c r="B2" s="3463"/>
    </row>
    <row r="3" spans="1:7" ht="14.25" thickBot="1">
      <c r="A3" s="3463"/>
      <c r="B3" s="3463"/>
      <c r="C3" s="3464" t="s">
        <v>3023</v>
      </c>
      <c r="D3" s="3464" t="s">
        <v>3024</v>
      </c>
      <c r="E3" s="3464" t="s">
        <v>3025</v>
      </c>
      <c r="F3" s="3464" t="s">
        <v>3026</v>
      </c>
      <c r="G3" s="3464" t="s">
        <v>3027</v>
      </c>
    </row>
    <row r="4" spans="1:7" ht="14.25" thickBot="1">
      <c r="A4" s="3465" t="s">
        <v>3028</v>
      </c>
      <c r="B4" s="3466" t="s">
        <v>3029</v>
      </c>
      <c r="C4" s="3464"/>
      <c r="D4" s="3464"/>
      <c r="E4" s="3464"/>
      <c r="F4" s="3464"/>
      <c r="G4" s="3464"/>
    </row>
    <row r="5" spans="1:7">
      <c r="A5" s="3467" t="s">
        <v>3030</v>
      </c>
      <c r="B5" s="3468" t="s">
        <v>3031</v>
      </c>
      <c r="C5" s="3469">
        <v>9.8000000000000004E-2</v>
      </c>
      <c r="D5" s="3469">
        <v>8.6999999999999994E-2</v>
      </c>
      <c r="E5" s="3469">
        <v>8.6999999999999994E-2</v>
      </c>
      <c r="F5" s="3469">
        <v>9.8000000000000004E-2</v>
      </c>
      <c r="G5" s="3470">
        <v>9.5000000000000001E-2</v>
      </c>
    </row>
    <row r="6" spans="1:7">
      <c r="A6" s="3471" t="s">
        <v>990</v>
      </c>
      <c r="B6" s="3472" t="s">
        <v>3032</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3033</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3034</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2820</v>
      </c>
      <c r="C29" s="3481"/>
      <c r="D29" s="3477">
        <v>5.1999999999999998E-2</v>
      </c>
      <c r="E29" s="3477">
        <v>7.0000000000000007E-2</v>
      </c>
      <c r="F29" s="3481"/>
      <c r="G29" s="3479">
        <v>7.0999999999999994E-2</v>
      </c>
    </row>
    <row r="30" spans="1:7">
      <c r="A30" s="3482" t="s">
        <v>1145</v>
      </c>
      <c r="B30" s="3468" t="s">
        <v>3035</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3036</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2822</v>
      </c>
      <c r="C50" s="3473">
        <v>9.8000000000000004E-2</v>
      </c>
      <c r="D50" s="3473">
        <v>7.2999999999999995E-2</v>
      </c>
      <c r="E50" s="3473">
        <v>7.0999999999999994E-2</v>
      </c>
      <c r="F50" s="3484"/>
      <c r="G50" s="3474">
        <v>7.2999999999999995E-2</v>
      </c>
    </row>
    <row r="51" spans="1:7">
      <c r="A51" s="3483" t="s">
        <v>1145</v>
      </c>
      <c r="B51" s="3472" t="s">
        <v>2823</v>
      </c>
      <c r="C51" s="3473">
        <v>9.9000000000000005E-2</v>
      </c>
      <c r="D51" s="3473">
        <v>8.5000000000000006E-2</v>
      </c>
      <c r="E51" s="3473">
        <v>6.3E-2</v>
      </c>
      <c r="F51" s="3484"/>
      <c r="G51" s="3474">
        <v>9.6000000000000002E-2</v>
      </c>
    </row>
    <row r="52" spans="1:7">
      <c r="A52" s="3483" t="s">
        <v>1145</v>
      </c>
      <c r="B52" s="3472" t="s">
        <v>2824</v>
      </c>
      <c r="C52" s="3473">
        <v>7.3999999999999996E-2</v>
      </c>
      <c r="D52" s="3473">
        <v>9.6000000000000002E-2</v>
      </c>
      <c r="E52" s="3473">
        <v>0.05</v>
      </c>
      <c r="F52" s="3484"/>
      <c r="G52" s="3474">
        <v>9.8000000000000004E-2</v>
      </c>
    </row>
    <row r="53" spans="1:7">
      <c r="A53" s="3483" t="s">
        <v>1145</v>
      </c>
      <c r="B53" s="3472" t="s">
        <v>2825</v>
      </c>
      <c r="C53" s="3473">
        <v>8.5999999999999993E-2</v>
      </c>
      <c r="D53" s="3484"/>
      <c r="E53" s="3473">
        <v>9.1999999999999998E-2</v>
      </c>
      <c r="F53" s="3484"/>
      <c r="G53" s="3485"/>
    </row>
    <row r="54" spans="1:7" ht="14.25" thickBot="1">
      <c r="A54" s="3486" t="s">
        <v>1145</v>
      </c>
      <c r="B54" s="3476" t="s">
        <v>2826</v>
      </c>
      <c r="C54" s="3477">
        <v>9.6000000000000002E-2</v>
      </c>
      <c r="D54" s="3478"/>
      <c r="E54" s="3487"/>
      <c r="F54" s="3478"/>
      <c r="G54" s="3488"/>
    </row>
    <row r="55" spans="1:7">
      <c r="A55" s="3482" t="s">
        <v>853</v>
      </c>
      <c r="B55" s="3468" t="s">
        <v>3037</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2828</v>
      </c>
      <c r="C78" s="3473">
        <v>0.1</v>
      </c>
      <c r="D78" s="3473">
        <v>8.5000000000000006E-2</v>
      </c>
      <c r="E78" s="3473">
        <v>9.6000000000000002E-2</v>
      </c>
      <c r="F78" s="3484"/>
      <c r="G78" s="3474">
        <v>9.6000000000000002E-2</v>
      </c>
    </row>
    <row r="79" spans="1:7">
      <c r="A79" s="3483" t="s">
        <v>853</v>
      </c>
      <c r="B79" s="3472" t="s">
        <v>2829</v>
      </c>
      <c r="C79" s="3473">
        <v>0.05</v>
      </c>
      <c r="D79" s="3473">
        <v>9.6000000000000002E-2</v>
      </c>
      <c r="E79" s="3473">
        <v>9.5000000000000001E-2</v>
      </c>
      <c r="F79" s="3484"/>
      <c r="G79" s="3474">
        <v>9.8000000000000004E-2</v>
      </c>
    </row>
    <row r="80" spans="1:7">
      <c r="A80" s="3483" t="s">
        <v>853</v>
      </c>
      <c r="B80" s="3472" t="s">
        <v>2830</v>
      </c>
      <c r="C80" s="3473">
        <v>8.5999999999999993E-2</v>
      </c>
      <c r="D80" s="3489"/>
      <c r="E80" s="3473">
        <v>0.1</v>
      </c>
      <c r="F80" s="3484"/>
      <c r="G80" s="3485"/>
    </row>
    <row r="81" spans="1:7">
      <c r="A81" s="3483" t="s">
        <v>853</v>
      </c>
      <c r="B81" s="3472" t="s">
        <v>2831</v>
      </c>
      <c r="C81" s="3473">
        <v>9.6000000000000002E-2</v>
      </c>
      <c r="D81" s="3484"/>
      <c r="E81" s="3473">
        <v>9.8000000000000004E-2</v>
      </c>
      <c r="F81" s="3484"/>
      <c r="G81" s="3485"/>
    </row>
    <row r="82" spans="1:7">
      <c r="A82" s="3483" t="s">
        <v>853</v>
      </c>
      <c r="B82" s="3472" t="s">
        <v>2832</v>
      </c>
      <c r="C82" s="3489"/>
      <c r="D82" s="3484"/>
      <c r="E82" s="3473">
        <v>7.6999999999999999E-2</v>
      </c>
      <c r="F82" s="3484"/>
      <c r="G82" s="3485"/>
    </row>
    <row r="83" spans="1:7">
      <c r="A83" s="3483" t="s">
        <v>853</v>
      </c>
      <c r="B83" s="3472" t="s">
        <v>3038</v>
      </c>
      <c r="C83" s="3484"/>
      <c r="D83" s="3484"/>
      <c r="E83" s="3484"/>
      <c r="F83" s="3473">
        <v>0.1</v>
      </c>
      <c r="G83" s="3490"/>
    </row>
    <row r="84" spans="1:7">
      <c r="A84" s="3483" t="s">
        <v>853</v>
      </c>
      <c r="B84" s="3472" t="s">
        <v>3039</v>
      </c>
      <c r="C84" s="3484"/>
      <c r="D84" s="3484"/>
      <c r="E84" s="3484"/>
      <c r="F84" s="3473">
        <v>0.1</v>
      </c>
      <c r="G84" s="3490"/>
    </row>
    <row r="85" spans="1:7">
      <c r="A85" s="3483" t="s">
        <v>853</v>
      </c>
      <c r="B85" s="3472" t="s">
        <v>3040</v>
      </c>
      <c r="C85" s="3484"/>
      <c r="D85" s="3484"/>
      <c r="E85" s="3484"/>
      <c r="F85" s="3473">
        <v>0.1</v>
      </c>
      <c r="G85" s="3490"/>
    </row>
    <row r="86" spans="1:7" ht="14.25" thickBot="1">
      <c r="A86" s="3486" t="s">
        <v>853</v>
      </c>
      <c r="B86" s="3476" t="s">
        <v>3041</v>
      </c>
      <c r="C86" s="3477">
        <v>9.8000000000000004E-2</v>
      </c>
      <c r="D86" s="3477">
        <v>9.8000000000000004E-2</v>
      </c>
      <c r="E86" s="3477">
        <v>9.6000000000000002E-2</v>
      </c>
      <c r="F86" s="3487"/>
      <c r="G86" s="3479">
        <v>0.1</v>
      </c>
    </row>
    <row r="87" spans="1:7">
      <c r="A87" s="3482" t="s">
        <v>1152</v>
      </c>
      <c r="B87" s="3468" t="s">
        <v>3042</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2838</v>
      </c>
      <c r="C113" s="3473">
        <v>0.1</v>
      </c>
      <c r="D113" s="3473">
        <v>0.1</v>
      </c>
      <c r="E113" s="3484"/>
      <c r="F113" s="3484"/>
      <c r="G113" s="3474">
        <v>0.1</v>
      </c>
    </row>
    <row r="114" spans="1:7">
      <c r="A114" s="3483" t="s">
        <v>1152</v>
      </c>
      <c r="B114" s="3472" t="s">
        <v>2839</v>
      </c>
      <c r="C114" s="3473">
        <v>9.7000000000000003E-2</v>
      </c>
      <c r="D114" s="3473">
        <v>9.7000000000000003E-2</v>
      </c>
      <c r="E114" s="3484"/>
      <c r="F114" s="3484"/>
      <c r="G114" s="3474">
        <v>9.9000000000000005E-2</v>
      </c>
    </row>
    <row r="115" spans="1:7">
      <c r="A115" s="3483" t="s">
        <v>1152</v>
      </c>
      <c r="B115" s="3472" t="s">
        <v>2840</v>
      </c>
      <c r="C115" s="3473">
        <v>0.1</v>
      </c>
      <c r="D115" s="3473">
        <v>0.1</v>
      </c>
      <c r="E115" s="3484"/>
      <c r="F115" s="3484"/>
      <c r="G115" s="3474">
        <v>0.1</v>
      </c>
    </row>
    <row r="116" spans="1:7">
      <c r="A116" s="3483" t="s">
        <v>1152</v>
      </c>
      <c r="B116" s="3472" t="s">
        <v>2841</v>
      </c>
      <c r="C116" s="3473">
        <v>0.1</v>
      </c>
      <c r="D116" s="3473">
        <v>0.1</v>
      </c>
      <c r="E116" s="3484"/>
      <c r="F116" s="3484"/>
      <c r="G116" s="3474">
        <v>0.1</v>
      </c>
    </row>
    <row r="117" spans="1:7">
      <c r="A117" s="3483" t="s">
        <v>1152</v>
      </c>
      <c r="B117" s="3472" t="s">
        <v>2842</v>
      </c>
      <c r="C117" s="3473">
        <v>9.7000000000000003E-2</v>
      </c>
      <c r="D117" s="3473">
        <v>9.7000000000000003E-2</v>
      </c>
      <c r="E117" s="3484"/>
      <c r="F117" s="3484"/>
      <c r="G117" s="3474">
        <v>9.7000000000000003E-2</v>
      </c>
    </row>
    <row r="118" spans="1:7">
      <c r="A118" s="3483" t="s">
        <v>1152</v>
      </c>
      <c r="B118" s="3472" t="s">
        <v>2843</v>
      </c>
      <c r="C118" s="3473">
        <v>0.1</v>
      </c>
      <c r="D118" s="3473">
        <v>0.1</v>
      </c>
      <c r="E118" s="3484"/>
      <c r="F118" s="3484"/>
      <c r="G118" s="3474">
        <v>0.1</v>
      </c>
    </row>
    <row r="119" spans="1:7">
      <c r="A119" s="3483" t="s">
        <v>1152</v>
      </c>
      <c r="B119" s="3472" t="s">
        <v>2844</v>
      </c>
      <c r="C119" s="3473">
        <v>5.0999999999999997E-2</v>
      </c>
      <c r="D119" s="3473">
        <v>5.1999999999999998E-2</v>
      </c>
      <c r="E119" s="3484"/>
      <c r="F119" s="3489"/>
      <c r="G119" s="3474">
        <v>0.06</v>
      </c>
    </row>
    <row r="120" spans="1:7">
      <c r="A120" s="3483" t="s">
        <v>1152</v>
      </c>
      <c r="B120" s="3472" t="s">
        <v>3043</v>
      </c>
      <c r="C120" s="3484"/>
      <c r="D120" s="3484"/>
      <c r="E120" s="3484"/>
      <c r="F120" s="3473">
        <v>0.1</v>
      </c>
      <c r="G120" s="3490"/>
    </row>
    <row r="121" spans="1:7">
      <c r="A121" s="3483" t="s">
        <v>1152</v>
      </c>
      <c r="B121" s="3472" t="s">
        <v>3044</v>
      </c>
      <c r="C121" s="3484"/>
      <c r="D121" s="3484"/>
      <c r="E121" s="3484"/>
      <c r="F121" s="3473">
        <v>0.1</v>
      </c>
      <c r="G121" s="3490"/>
    </row>
    <row r="122" spans="1:7">
      <c r="A122" s="3483" t="s">
        <v>1152</v>
      </c>
      <c r="B122" s="3472" t="s">
        <v>3045</v>
      </c>
      <c r="C122" s="3473">
        <v>0.1</v>
      </c>
      <c r="D122" s="3473">
        <v>0.1</v>
      </c>
      <c r="E122" s="3473">
        <v>9.8000000000000004E-2</v>
      </c>
      <c r="F122" s="3473">
        <v>0.1</v>
      </c>
      <c r="G122" s="3474">
        <v>0.1</v>
      </c>
    </row>
    <row r="123" spans="1:7">
      <c r="A123" s="3483" t="s">
        <v>1152</v>
      </c>
      <c r="B123" s="3472" t="s">
        <v>2848</v>
      </c>
      <c r="C123" s="3473">
        <v>0.1</v>
      </c>
      <c r="D123" s="3473">
        <v>0.1</v>
      </c>
      <c r="E123" s="3473">
        <v>9.8000000000000004E-2</v>
      </c>
      <c r="F123" s="3473">
        <v>0.1</v>
      </c>
      <c r="G123" s="3474">
        <v>0.1</v>
      </c>
    </row>
    <row r="124" spans="1:7">
      <c r="A124" s="3483" t="s">
        <v>1152</v>
      </c>
      <c r="B124" s="3472" t="s">
        <v>2849</v>
      </c>
      <c r="C124" s="3473">
        <v>0.1</v>
      </c>
      <c r="D124" s="3473">
        <v>0.1</v>
      </c>
      <c r="E124" s="3473">
        <v>9.8000000000000004E-2</v>
      </c>
      <c r="F124" s="3489"/>
      <c r="G124" s="3474">
        <v>0.1</v>
      </c>
    </row>
    <row r="125" spans="1:7">
      <c r="A125" s="3483" t="s">
        <v>1152</v>
      </c>
      <c r="B125" s="3472" t="s">
        <v>2850</v>
      </c>
      <c r="C125" s="3473">
        <v>9.8000000000000004E-2</v>
      </c>
      <c r="D125" s="3473">
        <v>9.8000000000000004E-2</v>
      </c>
      <c r="E125" s="3473">
        <v>9.6000000000000002E-2</v>
      </c>
      <c r="F125" s="3489"/>
      <c r="G125" s="3474">
        <v>0.1</v>
      </c>
    </row>
    <row r="126" spans="1:7" ht="14.25" thickBot="1">
      <c r="A126" s="3486" t="s">
        <v>1152</v>
      </c>
      <c r="B126" s="3476" t="s">
        <v>3046</v>
      </c>
      <c r="C126" s="3477">
        <v>0.1</v>
      </c>
      <c r="D126" s="3477">
        <v>0.1</v>
      </c>
      <c r="E126" s="3477">
        <v>9.8000000000000004E-2</v>
      </c>
      <c r="F126" s="3477">
        <v>0.1</v>
      </c>
      <c r="G126" s="3479">
        <v>0.1</v>
      </c>
    </row>
    <row r="127" spans="1:7">
      <c r="A127" s="3482" t="s">
        <v>1153</v>
      </c>
      <c r="B127" s="3468" t="s">
        <v>3047</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3048</v>
      </c>
      <c r="C148" s="3473">
        <v>0.13</v>
      </c>
      <c r="D148" s="3473">
        <v>0.13</v>
      </c>
      <c r="E148" s="3473">
        <v>0.13</v>
      </c>
      <c r="F148" s="3484"/>
      <c r="G148" s="3474">
        <v>0.13</v>
      </c>
    </row>
    <row r="149" spans="1:7">
      <c r="A149" s="3483" t="s">
        <v>1153</v>
      </c>
      <c r="B149" s="3472" t="s">
        <v>3049</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2855</v>
      </c>
      <c r="C153" s="3473">
        <v>0.13</v>
      </c>
      <c r="D153" s="3473">
        <v>0.13</v>
      </c>
      <c r="E153" s="3473">
        <v>0.13</v>
      </c>
      <c r="F153" s="3473">
        <v>0.13</v>
      </c>
      <c r="G153" s="3474">
        <v>0.13</v>
      </c>
    </row>
    <row r="154" spans="1:7">
      <c r="A154" s="3483" t="s">
        <v>1153</v>
      </c>
      <c r="B154" s="3472" t="s">
        <v>3050</v>
      </c>
      <c r="C154" s="3473">
        <v>0.121</v>
      </c>
      <c r="D154" s="3473">
        <v>0.121</v>
      </c>
      <c r="E154" s="3473">
        <v>0.105</v>
      </c>
      <c r="F154" s="3473">
        <v>0.121</v>
      </c>
      <c r="G154" s="3474">
        <v>0.123</v>
      </c>
    </row>
    <row r="155" spans="1:7">
      <c r="A155" s="3483" t="s">
        <v>1153</v>
      </c>
      <c r="B155" s="3472" t="s">
        <v>2857</v>
      </c>
      <c r="C155" s="3473">
        <v>0.1</v>
      </c>
      <c r="D155" s="3473">
        <v>0.1</v>
      </c>
      <c r="E155" s="3473">
        <v>0.1</v>
      </c>
      <c r="F155" s="3473">
        <v>0.1</v>
      </c>
      <c r="G155" s="3474">
        <v>0.1</v>
      </c>
    </row>
    <row r="156" spans="1:7">
      <c r="A156" s="3483" t="s">
        <v>1153</v>
      </c>
      <c r="B156" s="3472" t="s">
        <v>3051</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3052</v>
      </c>
      <c r="C160" s="3473">
        <v>0.13</v>
      </c>
      <c r="D160" s="3473">
        <v>0.13</v>
      </c>
      <c r="E160" s="3473">
        <v>0.124</v>
      </c>
      <c r="F160" s="3473">
        <v>0.126</v>
      </c>
      <c r="G160" s="3474">
        <v>0.13</v>
      </c>
    </row>
    <row r="161" spans="1:7">
      <c r="A161" s="3483" t="s">
        <v>1153</v>
      </c>
      <c r="B161" s="3472" t="s">
        <v>2860</v>
      </c>
      <c r="C161" s="3473">
        <v>0.13</v>
      </c>
      <c r="D161" s="3473">
        <v>0.13</v>
      </c>
      <c r="E161" s="3473">
        <v>0.124</v>
      </c>
      <c r="F161" s="3473">
        <v>0.127</v>
      </c>
      <c r="G161" s="3474">
        <v>0.13</v>
      </c>
    </row>
    <row r="162" spans="1:7">
      <c r="A162" s="3483" t="s">
        <v>1153</v>
      </c>
      <c r="B162" s="3472" t="s">
        <v>2861</v>
      </c>
      <c r="C162" s="3473">
        <v>0.1</v>
      </c>
      <c r="D162" s="3473">
        <v>0.1</v>
      </c>
      <c r="E162" s="3473">
        <v>0.1</v>
      </c>
      <c r="F162" s="3473">
        <v>0.121</v>
      </c>
      <c r="G162" s="3474">
        <v>0.105</v>
      </c>
    </row>
    <row r="163" spans="1:7">
      <c r="A163" s="3483" t="s">
        <v>1153</v>
      </c>
      <c r="B163" s="3472" t="s">
        <v>2862</v>
      </c>
      <c r="C163" s="3473">
        <v>0.1</v>
      </c>
      <c r="D163" s="3473">
        <v>0.1</v>
      </c>
      <c r="E163" s="3473">
        <v>0.1</v>
      </c>
      <c r="F163" s="3473">
        <v>0.1</v>
      </c>
      <c r="G163" s="3474">
        <v>0.1</v>
      </c>
    </row>
    <row r="164" spans="1:7">
      <c r="A164" s="3483" t="s">
        <v>1153</v>
      </c>
      <c r="B164" s="3472" t="s">
        <v>2863</v>
      </c>
      <c r="C164" s="3489"/>
      <c r="D164" s="3489"/>
      <c r="E164" s="3489"/>
      <c r="F164" s="3473">
        <v>0.1</v>
      </c>
      <c r="G164" s="3485"/>
    </row>
    <row r="165" spans="1:7">
      <c r="A165" s="3483" t="s">
        <v>1153</v>
      </c>
      <c r="B165" s="3472" t="s">
        <v>3053</v>
      </c>
      <c r="C165" s="3473">
        <v>0.126</v>
      </c>
      <c r="D165" s="3473">
        <v>0.126</v>
      </c>
      <c r="E165" s="3473">
        <v>0.11899999999999999</v>
      </c>
      <c r="F165" s="3473">
        <v>0.13</v>
      </c>
      <c r="G165" s="3474">
        <v>0.128</v>
      </c>
    </row>
    <row r="166" spans="1:7">
      <c r="A166" s="3483" t="s">
        <v>1153</v>
      </c>
      <c r="B166" s="3472" t="s">
        <v>2865</v>
      </c>
      <c r="C166" s="3473">
        <v>0.129</v>
      </c>
      <c r="D166" s="3473">
        <v>0.129</v>
      </c>
      <c r="E166" s="3473">
        <v>0.123</v>
      </c>
      <c r="F166" s="3473">
        <v>0.128</v>
      </c>
      <c r="G166" s="3474">
        <v>0.13</v>
      </c>
    </row>
    <row r="167" spans="1:7">
      <c r="A167" s="3483" t="s">
        <v>1153</v>
      </c>
      <c r="B167" s="3472" t="s">
        <v>2866</v>
      </c>
      <c r="C167" s="3473">
        <v>0.125</v>
      </c>
      <c r="D167" s="3473">
        <v>0.125</v>
      </c>
      <c r="E167" s="3473">
        <v>0.11700000000000001</v>
      </c>
      <c r="F167" s="3473">
        <v>0.13</v>
      </c>
      <c r="G167" s="3474">
        <v>0.126</v>
      </c>
    </row>
    <row r="168" spans="1:7">
      <c r="A168" s="3483" t="s">
        <v>1153</v>
      </c>
      <c r="B168" s="3472" t="s">
        <v>2867</v>
      </c>
      <c r="C168" s="3473">
        <v>0.128</v>
      </c>
      <c r="D168" s="3473">
        <v>0.128</v>
      </c>
      <c r="E168" s="3473">
        <v>0.123</v>
      </c>
      <c r="F168" s="3484"/>
      <c r="G168" s="3474">
        <v>0.13</v>
      </c>
    </row>
    <row r="169" spans="1:7">
      <c r="A169" s="3483" t="s">
        <v>1153</v>
      </c>
      <c r="B169" s="3472" t="s">
        <v>3054</v>
      </c>
      <c r="C169" s="3489"/>
      <c r="D169" s="3489"/>
      <c r="E169" s="3489"/>
      <c r="F169" s="3473">
        <v>0.05</v>
      </c>
      <c r="G169" s="3485"/>
    </row>
    <row r="170" spans="1:7">
      <c r="A170" s="3483" t="s">
        <v>1153</v>
      </c>
      <c r="B170" s="3472" t="s">
        <v>3055</v>
      </c>
      <c r="C170" s="3489"/>
      <c r="D170" s="3489"/>
      <c r="E170" s="3489"/>
      <c r="F170" s="3473">
        <v>0.05</v>
      </c>
      <c r="G170" s="3485"/>
    </row>
    <row r="171" spans="1:7">
      <c r="A171" s="3483" t="s">
        <v>1153</v>
      </c>
      <c r="B171" s="3472" t="s">
        <v>3056</v>
      </c>
      <c r="C171" s="3489"/>
      <c r="D171" s="3489"/>
      <c r="E171" s="3489"/>
      <c r="F171" s="3473">
        <v>0.05</v>
      </c>
      <c r="G171" s="3490"/>
    </row>
    <row r="172" spans="1:7">
      <c r="A172" s="3483" t="s">
        <v>1153</v>
      </c>
      <c r="B172" s="3472" t="s">
        <v>3057</v>
      </c>
      <c r="C172" s="3489"/>
      <c r="D172" s="3489"/>
      <c r="E172" s="3489"/>
      <c r="F172" s="3473">
        <v>0.05</v>
      </c>
      <c r="G172" s="3490"/>
    </row>
    <row r="173" spans="1:7">
      <c r="A173" s="3483" t="s">
        <v>1153</v>
      </c>
      <c r="B173" s="3472" t="s">
        <v>3058</v>
      </c>
      <c r="C173" s="3489"/>
      <c r="D173" s="3489"/>
      <c r="E173" s="3489"/>
      <c r="F173" s="3473">
        <v>0.05</v>
      </c>
      <c r="G173" s="3485"/>
    </row>
    <row r="174" spans="1:7">
      <c r="A174" s="3483" t="s">
        <v>1153</v>
      </c>
      <c r="B174" s="3472" t="s">
        <v>3059</v>
      </c>
      <c r="C174" s="3489"/>
      <c r="D174" s="3489"/>
      <c r="E174" s="3489"/>
      <c r="F174" s="3473">
        <v>0.05</v>
      </c>
      <c r="G174" s="3485"/>
    </row>
    <row r="175" spans="1:7">
      <c r="A175" s="3483" t="s">
        <v>1153</v>
      </c>
      <c r="B175" s="3472" t="s">
        <v>3060</v>
      </c>
      <c r="C175" s="3489"/>
      <c r="D175" s="3489"/>
      <c r="E175" s="3489"/>
      <c r="F175" s="3473">
        <v>0.05</v>
      </c>
      <c r="G175" s="3485"/>
    </row>
    <row r="176" spans="1:7">
      <c r="A176" s="3483" t="s">
        <v>1153</v>
      </c>
      <c r="B176" s="3472" t="s">
        <v>3061</v>
      </c>
      <c r="C176" s="3489"/>
      <c r="D176" s="3489"/>
      <c r="E176" s="3489"/>
      <c r="F176" s="3473">
        <v>0.05</v>
      </c>
      <c r="G176" s="3485"/>
    </row>
    <row r="177" spans="1:7">
      <c r="A177" s="3483" t="s">
        <v>1153</v>
      </c>
      <c r="B177" s="3472" t="s">
        <v>3062</v>
      </c>
      <c r="C177" s="3484"/>
      <c r="D177" s="3484"/>
      <c r="E177" s="3484"/>
      <c r="F177" s="3473">
        <v>0.05</v>
      </c>
      <c r="G177" s="3490"/>
    </row>
    <row r="178" spans="1:7">
      <c r="A178" s="3483" t="s">
        <v>1153</v>
      </c>
      <c r="B178" s="3472" t="s">
        <v>3063</v>
      </c>
      <c r="C178" s="3484"/>
      <c r="D178" s="3484"/>
      <c r="E178" s="3484"/>
      <c r="F178" s="3473">
        <v>0.05</v>
      </c>
      <c r="G178" s="3490"/>
    </row>
    <row r="179" spans="1:7">
      <c r="A179" s="3483" t="s">
        <v>1153</v>
      </c>
      <c r="B179" s="3472" t="s">
        <v>3064</v>
      </c>
      <c r="C179" s="3484"/>
      <c r="D179" s="3484"/>
      <c r="E179" s="3484"/>
      <c r="F179" s="3473">
        <v>0.05</v>
      </c>
      <c r="G179" s="3490"/>
    </row>
    <row r="180" spans="1:7">
      <c r="A180" s="3483" t="s">
        <v>1153</v>
      </c>
      <c r="B180" s="3472" t="s">
        <v>3065</v>
      </c>
      <c r="C180" s="3484"/>
      <c r="D180" s="3484"/>
      <c r="E180" s="3484"/>
      <c r="F180" s="3473">
        <v>0.05</v>
      </c>
      <c r="G180" s="3490"/>
    </row>
    <row r="181" spans="1:7">
      <c r="A181" s="3483" t="s">
        <v>1153</v>
      </c>
      <c r="B181" s="3472" t="s">
        <v>3066</v>
      </c>
      <c r="C181" s="3484"/>
      <c r="D181" s="3484"/>
      <c r="E181" s="3484"/>
      <c r="F181" s="3473">
        <v>0.05</v>
      </c>
      <c r="G181" s="3490"/>
    </row>
    <row r="182" spans="1:7">
      <c r="A182" s="3483" t="s">
        <v>1153</v>
      </c>
      <c r="B182" s="3472" t="s">
        <v>3067</v>
      </c>
      <c r="C182" s="3484"/>
      <c r="D182" s="3484"/>
      <c r="E182" s="3484"/>
      <c r="F182" s="3473">
        <v>0.05</v>
      </c>
      <c r="G182" s="3490"/>
    </row>
    <row r="183" spans="1:7">
      <c r="A183" s="3483" t="s">
        <v>1153</v>
      </c>
      <c r="B183" s="3472" t="s">
        <v>3068</v>
      </c>
      <c r="C183" s="3484"/>
      <c r="D183" s="3484"/>
      <c r="E183" s="3484"/>
      <c r="F183" s="3473">
        <v>0.05</v>
      </c>
      <c r="G183" s="3490"/>
    </row>
    <row r="184" spans="1:7">
      <c r="A184" s="3483" t="s">
        <v>1153</v>
      </c>
      <c r="B184" s="3472" t="s">
        <v>3069</v>
      </c>
      <c r="C184" s="3484"/>
      <c r="D184" s="3484"/>
      <c r="E184" s="3484"/>
      <c r="F184" s="3473">
        <v>0.05</v>
      </c>
      <c r="G184" s="3490"/>
    </row>
    <row r="185" spans="1:7">
      <c r="A185" s="3483" t="s">
        <v>1153</v>
      </c>
      <c r="B185" s="3472" t="s">
        <v>3070</v>
      </c>
      <c r="C185" s="3484"/>
      <c r="D185" s="3484"/>
      <c r="E185" s="3484"/>
      <c r="F185" s="3473">
        <v>0.05</v>
      </c>
      <c r="G185" s="3490"/>
    </row>
    <row r="186" spans="1:7">
      <c r="A186" s="3483" t="s">
        <v>1153</v>
      </c>
      <c r="B186" s="3472" t="s">
        <v>3071</v>
      </c>
      <c r="C186" s="3484"/>
      <c r="D186" s="3484"/>
      <c r="E186" s="3484"/>
      <c r="F186" s="3473">
        <v>0.05</v>
      </c>
      <c r="G186" s="3490"/>
    </row>
    <row r="187" spans="1:7">
      <c r="A187" s="3483" t="s">
        <v>1153</v>
      </c>
      <c r="B187" s="3472" t="s">
        <v>3072</v>
      </c>
      <c r="C187" s="3484"/>
      <c r="D187" s="3484"/>
      <c r="E187" s="3484"/>
      <c r="F187" s="3473">
        <v>0.05</v>
      </c>
      <c r="G187" s="3490"/>
    </row>
    <row r="188" spans="1:7">
      <c r="A188" s="3483" t="s">
        <v>1153</v>
      </c>
      <c r="B188" s="3472" t="s">
        <v>3073</v>
      </c>
      <c r="C188" s="3484"/>
      <c r="D188" s="3484"/>
      <c r="E188" s="3484"/>
      <c r="F188" s="3473">
        <v>0.05</v>
      </c>
      <c r="G188" s="3490"/>
    </row>
    <row r="189" spans="1:7" ht="14.25" thickBot="1">
      <c r="A189" s="3486" t="s">
        <v>1153</v>
      </c>
      <c r="B189" s="3476" t="s">
        <v>3074</v>
      </c>
      <c r="C189" s="3478"/>
      <c r="D189" s="3478"/>
      <c r="E189" s="3478"/>
      <c r="F189" s="3477">
        <v>0.05</v>
      </c>
      <c r="G189" s="3491"/>
    </row>
    <row r="190" spans="1:7">
      <c r="A190" s="3482" t="s">
        <v>1154</v>
      </c>
      <c r="B190" s="3468" t="s">
        <v>3075</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3076</v>
      </c>
      <c r="C199" s="3473">
        <v>0.13</v>
      </c>
      <c r="D199" s="3473">
        <v>0.13</v>
      </c>
      <c r="E199" s="3473">
        <v>0.13</v>
      </c>
      <c r="F199" s="3473">
        <v>0.13</v>
      </c>
      <c r="G199" s="3474">
        <v>0.13</v>
      </c>
    </row>
    <row r="200" spans="1:7">
      <c r="A200" s="3483" t="s">
        <v>1154</v>
      </c>
      <c r="B200" s="3472" t="s">
        <v>2891</v>
      </c>
      <c r="C200" s="3489"/>
      <c r="D200" s="3489"/>
      <c r="E200" s="3489"/>
      <c r="F200" s="3473">
        <v>0.13</v>
      </c>
      <c r="G200" s="3485"/>
    </row>
    <row r="201" spans="1:7">
      <c r="A201" s="3483" t="s">
        <v>1154</v>
      </c>
      <c r="B201" s="3472" t="s">
        <v>3077</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3078</v>
      </c>
      <c r="C203" s="3473">
        <v>0.129</v>
      </c>
      <c r="D203" s="3473">
        <v>0.129</v>
      </c>
      <c r="E203" s="3473">
        <v>0.13</v>
      </c>
      <c r="F203" s="3473">
        <v>0.13</v>
      </c>
      <c r="G203" s="3474">
        <v>0.13</v>
      </c>
    </row>
    <row r="204" spans="1:7">
      <c r="A204" s="3483" t="s">
        <v>1154</v>
      </c>
      <c r="B204" s="3472" t="s">
        <v>2894</v>
      </c>
      <c r="C204" s="3473">
        <v>0.129</v>
      </c>
      <c r="D204" s="3473">
        <v>0.129</v>
      </c>
      <c r="E204" s="3473">
        <v>0.123</v>
      </c>
      <c r="F204" s="3473">
        <v>0.13</v>
      </c>
      <c r="G204" s="3474">
        <v>0.13</v>
      </c>
    </row>
    <row r="205" spans="1:7">
      <c r="A205" s="3483" t="s">
        <v>1154</v>
      </c>
      <c r="B205" s="3472" t="s">
        <v>2895</v>
      </c>
      <c r="C205" s="3473">
        <v>0.13</v>
      </c>
      <c r="D205" s="3473">
        <v>0.13</v>
      </c>
      <c r="E205" s="3473">
        <v>0.13</v>
      </c>
      <c r="F205" s="3473">
        <v>0.13</v>
      </c>
      <c r="G205" s="3474">
        <v>0.13</v>
      </c>
    </row>
    <row r="206" spans="1:7">
      <c r="A206" s="3483" t="s">
        <v>1154</v>
      </c>
      <c r="B206" s="3472" t="s">
        <v>2896</v>
      </c>
      <c r="C206" s="3473">
        <v>0.13</v>
      </c>
      <c r="D206" s="3473">
        <v>0.13</v>
      </c>
      <c r="E206" s="3473">
        <v>0.13</v>
      </c>
      <c r="F206" s="3473">
        <v>0.128</v>
      </c>
      <c r="G206" s="3474">
        <v>0.13</v>
      </c>
    </row>
    <row r="207" spans="1:7">
      <c r="A207" s="3483" t="s">
        <v>1154</v>
      </c>
      <c r="B207" s="3472" t="s">
        <v>2897</v>
      </c>
      <c r="C207" s="3473">
        <v>0.13</v>
      </c>
      <c r="D207" s="3473">
        <v>0.13</v>
      </c>
      <c r="E207" s="3473">
        <v>0.13</v>
      </c>
      <c r="F207" s="3473">
        <v>0.13</v>
      </c>
      <c r="G207" s="3474">
        <v>0.13</v>
      </c>
    </row>
    <row r="208" spans="1:7">
      <c r="A208" s="3483" t="s">
        <v>1154</v>
      </c>
      <c r="B208" s="3472" t="s">
        <v>3079</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2899</v>
      </c>
      <c r="C210" s="3473">
        <v>0.121</v>
      </c>
      <c r="D210" s="3473">
        <v>0.121</v>
      </c>
      <c r="E210" s="3473">
        <v>0.125</v>
      </c>
      <c r="F210" s="3473">
        <v>0.13</v>
      </c>
      <c r="G210" s="3474">
        <v>0.123</v>
      </c>
    </row>
    <row r="211" spans="1:7">
      <c r="A211" s="3483" t="s">
        <v>1154</v>
      </c>
      <c r="B211" s="3472" t="s">
        <v>3080</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3081</v>
      </c>
      <c r="C214" s="3473">
        <v>0.128</v>
      </c>
      <c r="D214" s="3473">
        <v>0.128</v>
      </c>
      <c r="E214" s="3473">
        <v>0.13</v>
      </c>
      <c r="F214" s="3473">
        <v>0.13</v>
      </c>
      <c r="G214" s="3474">
        <v>0.13</v>
      </c>
    </row>
    <row r="215" spans="1:7">
      <c r="A215" s="3483" t="s">
        <v>1154</v>
      </c>
      <c r="B215" s="3472" t="s">
        <v>3082</v>
      </c>
      <c r="C215" s="3473">
        <v>0.13</v>
      </c>
      <c r="D215" s="3473">
        <v>0.13</v>
      </c>
      <c r="E215" s="3473">
        <v>0.13</v>
      </c>
      <c r="F215" s="3473">
        <v>0.129</v>
      </c>
      <c r="G215" s="3474">
        <v>0.13</v>
      </c>
    </row>
    <row r="216" spans="1:7">
      <c r="A216" s="3483" t="s">
        <v>1154</v>
      </c>
      <c r="B216" s="3472" t="s">
        <v>3083</v>
      </c>
      <c r="C216" s="3473">
        <v>0.13</v>
      </c>
      <c r="D216" s="3473">
        <v>0.13</v>
      </c>
      <c r="E216" s="3473">
        <v>0.13</v>
      </c>
      <c r="F216" s="3473">
        <v>0.13</v>
      </c>
      <c r="G216" s="3474">
        <v>0.13</v>
      </c>
    </row>
    <row r="217" spans="1:7">
      <c r="A217" s="3483" t="s">
        <v>1154</v>
      </c>
      <c r="B217" s="3472" t="s">
        <v>2903</v>
      </c>
      <c r="C217" s="3473">
        <v>0.129</v>
      </c>
      <c r="D217" s="3473">
        <v>0.129</v>
      </c>
      <c r="E217" s="3473">
        <v>0.13</v>
      </c>
      <c r="F217" s="3473">
        <v>0.13</v>
      </c>
      <c r="G217" s="3474">
        <v>0.13</v>
      </c>
    </row>
    <row r="218" spans="1:7">
      <c r="A218" s="3483" t="s">
        <v>1154</v>
      </c>
      <c r="B218" s="3472" t="s">
        <v>3084</v>
      </c>
      <c r="C218" s="3484"/>
      <c r="D218" s="3484"/>
      <c r="E218" s="3484"/>
      <c r="F218" s="3473">
        <v>0.05</v>
      </c>
      <c r="G218" s="3490"/>
    </row>
    <row r="219" spans="1:7">
      <c r="A219" s="3483" t="s">
        <v>1154</v>
      </c>
      <c r="B219" s="3472" t="s">
        <v>3085</v>
      </c>
      <c r="C219" s="3484"/>
      <c r="D219" s="3484"/>
      <c r="E219" s="3484"/>
      <c r="F219" s="3473">
        <v>0.05</v>
      </c>
      <c r="G219" s="3490"/>
    </row>
    <row r="220" spans="1:7">
      <c r="A220" s="3483" t="s">
        <v>1154</v>
      </c>
      <c r="B220" s="3472" t="s">
        <v>3086</v>
      </c>
      <c r="C220" s="3484"/>
      <c r="D220" s="3484"/>
      <c r="E220" s="3484"/>
      <c r="F220" s="3473">
        <v>0.05</v>
      </c>
      <c r="G220" s="3490"/>
    </row>
    <row r="221" spans="1:7">
      <c r="A221" s="3483" t="s">
        <v>1154</v>
      </c>
      <c r="B221" s="3472" t="s">
        <v>3087</v>
      </c>
      <c r="C221" s="3484"/>
      <c r="D221" s="3484"/>
      <c r="E221" s="3484"/>
      <c r="F221" s="3473">
        <v>0.05</v>
      </c>
      <c r="G221" s="3490"/>
    </row>
    <row r="222" spans="1:7">
      <c r="A222" s="3483" t="s">
        <v>1154</v>
      </c>
      <c r="B222" s="3472" t="s">
        <v>3088</v>
      </c>
      <c r="C222" s="3484"/>
      <c r="D222" s="3484"/>
      <c r="E222" s="3484"/>
      <c r="F222" s="3473">
        <v>0.05</v>
      </c>
      <c r="G222" s="3490"/>
    </row>
    <row r="223" spans="1:7">
      <c r="A223" s="3483" t="s">
        <v>1154</v>
      </c>
      <c r="B223" s="3472" t="s">
        <v>3089</v>
      </c>
      <c r="C223" s="3484"/>
      <c r="D223" s="3484"/>
      <c r="E223" s="3484"/>
      <c r="F223" s="3473">
        <v>0.05</v>
      </c>
      <c r="G223" s="3490"/>
    </row>
    <row r="224" spans="1:7">
      <c r="A224" s="3483" t="s">
        <v>1154</v>
      </c>
      <c r="B224" s="3472" t="s">
        <v>3090</v>
      </c>
      <c r="C224" s="3484"/>
      <c r="D224" s="3484"/>
      <c r="E224" s="3484"/>
      <c r="F224" s="3473">
        <v>0.05</v>
      </c>
      <c r="G224" s="3490"/>
    </row>
    <row r="225" spans="1:7">
      <c r="A225" s="3483" t="s">
        <v>1154</v>
      </c>
      <c r="B225" s="3472" t="s">
        <v>3091</v>
      </c>
      <c r="C225" s="3484"/>
      <c r="D225" s="3484"/>
      <c r="E225" s="3484"/>
      <c r="F225" s="3473">
        <v>0.05</v>
      </c>
      <c r="G225" s="3490"/>
    </row>
    <row r="226" spans="1:7">
      <c r="A226" s="3483" t="s">
        <v>1154</v>
      </c>
      <c r="B226" s="3472" t="s">
        <v>3092</v>
      </c>
      <c r="C226" s="3484"/>
      <c r="D226" s="3484"/>
      <c r="E226" s="3484"/>
      <c r="F226" s="3473">
        <v>0.05</v>
      </c>
      <c r="G226" s="3490"/>
    </row>
    <row r="227" spans="1:7">
      <c r="A227" s="3483" t="s">
        <v>1154</v>
      </c>
      <c r="B227" s="3472" t="s">
        <v>3093</v>
      </c>
      <c r="C227" s="3484"/>
      <c r="D227" s="3484"/>
      <c r="E227" s="3484"/>
      <c r="F227" s="3473">
        <v>0.05</v>
      </c>
      <c r="G227" s="3490"/>
    </row>
    <row r="228" spans="1:7">
      <c r="A228" s="3483" t="s">
        <v>1154</v>
      </c>
      <c r="B228" s="3472" t="s">
        <v>3094</v>
      </c>
      <c r="C228" s="3484"/>
      <c r="D228" s="3484"/>
      <c r="E228" s="3484"/>
      <c r="F228" s="3473">
        <v>0.05</v>
      </c>
      <c r="G228" s="3490"/>
    </row>
    <row r="229" spans="1:7">
      <c r="A229" s="3483" t="s">
        <v>1154</v>
      </c>
      <c r="B229" s="3472" t="s">
        <v>3095</v>
      </c>
      <c r="C229" s="3484"/>
      <c r="D229" s="3484"/>
      <c r="E229" s="3484"/>
      <c r="F229" s="3473">
        <v>0.05</v>
      </c>
      <c r="G229" s="3490"/>
    </row>
    <row r="230" spans="1:7">
      <c r="A230" s="3483" t="s">
        <v>1154</v>
      </c>
      <c r="B230" s="3472" t="s">
        <v>3096</v>
      </c>
      <c r="C230" s="3484"/>
      <c r="D230" s="3484"/>
      <c r="E230" s="3484"/>
      <c r="F230" s="3473">
        <v>0.05</v>
      </c>
      <c r="G230" s="3490"/>
    </row>
    <row r="231" spans="1:7">
      <c r="A231" s="3483" t="s">
        <v>1154</v>
      </c>
      <c r="B231" s="3472" t="s">
        <v>3097</v>
      </c>
      <c r="C231" s="3484"/>
      <c r="D231" s="3484"/>
      <c r="E231" s="3484"/>
      <c r="F231" s="3473">
        <v>0.05</v>
      </c>
      <c r="G231" s="3490"/>
    </row>
    <row r="232" spans="1:7">
      <c r="A232" s="3483" t="s">
        <v>1154</v>
      </c>
      <c r="B232" s="3472" t="s">
        <v>3098</v>
      </c>
      <c r="C232" s="3484"/>
      <c r="D232" s="3484"/>
      <c r="E232" s="3484"/>
      <c r="F232" s="3473">
        <v>0.05</v>
      </c>
      <c r="G232" s="3490"/>
    </row>
    <row r="233" spans="1:7" ht="14.25" thickBot="1">
      <c r="A233" s="3486" t="s">
        <v>1154</v>
      </c>
      <c r="B233" s="3476" t="s">
        <v>3099</v>
      </c>
      <c r="C233" s="3478"/>
      <c r="D233" s="3478"/>
      <c r="E233" s="3478"/>
      <c r="F233" s="3477">
        <v>0.05</v>
      </c>
      <c r="G233" s="3491"/>
    </row>
    <row r="234" spans="1:7">
      <c r="A234" s="3482" t="s">
        <v>1155</v>
      </c>
      <c r="B234" s="3468" t="s">
        <v>3100</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2921</v>
      </c>
      <c r="C238" s="3473">
        <v>0.14899999999999999</v>
      </c>
      <c r="D238" s="3473">
        <v>0.14899999999999999</v>
      </c>
      <c r="E238" s="3473">
        <v>0.15</v>
      </c>
      <c r="F238" s="3473">
        <v>0.15</v>
      </c>
      <c r="G238" s="3474">
        <v>0.15</v>
      </c>
    </row>
    <row r="239" spans="1:7">
      <c r="A239" s="3483" t="s">
        <v>1155</v>
      </c>
      <c r="B239" s="3472" t="s">
        <v>3101</v>
      </c>
      <c r="C239" s="3473">
        <v>0.15</v>
      </c>
      <c r="D239" s="3473">
        <v>0.15</v>
      </c>
      <c r="E239" s="3473">
        <v>0.15</v>
      </c>
      <c r="F239" s="3473">
        <v>0.15</v>
      </c>
      <c r="G239" s="3474">
        <v>0.15</v>
      </c>
    </row>
    <row r="240" spans="1:7">
      <c r="A240" s="3483" t="s">
        <v>1155</v>
      </c>
      <c r="B240" s="3472" t="s">
        <v>3102</v>
      </c>
      <c r="C240" s="3473">
        <v>0.15</v>
      </c>
      <c r="D240" s="3473">
        <v>0.15</v>
      </c>
      <c r="E240" s="3473">
        <v>0.15</v>
      </c>
      <c r="F240" s="3473">
        <v>0.15</v>
      </c>
      <c r="G240" s="3474">
        <v>0.15</v>
      </c>
    </row>
    <row r="241" spans="1:7">
      <c r="A241" s="3483" t="s">
        <v>1155</v>
      </c>
      <c r="B241" s="3472" t="s">
        <v>3103</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3104</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3105</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3106</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3107</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3108</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2930</v>
      </c>
      <c r="C258" s="3473">
        <v>0.14299999999999999</v>
      </c>
      <c r="D258" s="3473">
        <v>0.14299999999999999</v>
      </c>
      <c r="E258" s="3473">
        <v>0.15</v>
      </c>
      <c r="F258" s="3473">
        <v>0.14799999999999999</v>
      </c>
      <c r="G258" s="3474">
        <v>0.14599999999999999</v>
      </c>
    </row>
    <row r="259" spans="1:7">
      <c r="A259" s="3483" t="s">
        <v>1155</v>
      </c>
      <c r="B259" s="3472" t="s">
        <v>3109</v>
      </c>
      <c r="C259" s="3473">
        <v>0.14399999999999999</v>
      </c>
      <c r="D259" s="3473">
        <v>0.14399999999999999</v>
      </c>
      <c r="E259" s="3473">
        <v>0.14899999999999999</v>
      </c>
      <c r="F259" s="3473">
        <v>0.14699999999999999</v>
      </c>
      <c r="G259" s="3474">
        <v>0.14599999999999999</v>
      </c>
    </row>
    <row r="260" spans="1:7">
      <c r="A260" s="3483" t="s">
        <v>1155</v>
      </c>
      <c r="B260" s="3472" t="s">
        <v>3110</v>
      </c>
      <c r="C260" s="3473">
        <v>0.109</v>
      </c>
      <c r="D260" s="3473">
        <v>0.111</v>
      </c>
      <c r="E260" s="3473">
        <v>0.13100000000000001</v>
      </c>
      <c r="F260" s="3473">
        <v>0.126</v>
      </c>
      <c r="G260" s="3474">
        <v>0.11899999999999999</v>
      </c>
    </row>
    <row r="261" spans="1:7">
      <c r="A261" s="3483" t="s">
        <v>1155</v>
      </c>
      <c r="B261" s="3472" t="s">
        <v>3111</v>
      </c>
      <c r="C261" s="3473">
        <v>0.1</v>
      </c>
      <c r="D261" s="3473">
        <v>0.1</v>
      </c>
      <c r="E261" s="3473">
        <v>0.11799999999999999</v>
      </c>
      <c r="F261" s="3473">
        <v>0.108</v>
      </c>
      <c r="G261" s="3474">
        <v>0.107</v>
      </c>
    </row>
    <row r="262" spans="1:7">
      <c r="A262" s="3483" t="s">
        <v>1155</v>
      </c>
      <c r="B262" s="3472" t="s">
        <v>3112</v>
      </c>
      <c r="C262" s="3473">
        <v>0.1</v>
      </c>
      <c r="D262" s="3473">
        <v>0.1</v>
      </c>
      <c r="E262" s="3473">
        <v>0.1</v>
      </c>
      <c r="F262" s="3473">
        <v>0.14099999999999999</v>
      </c>
      <c r="G262" s="3474">
        <v>0.1</v>
      </c>
    </row>
    <row r="263" spans="1:7">
      <c r="A263" s="3483" t="s">
        <v>1155</v>
      </c>
      <c r="B263" s="3472" t="s">
        <v>3113</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3114</v>
      </c>
      <c r="C265" s="3484"/>
      <c r="D265" s="3484"/>
      <c r="E265" s="3484"/>
      <c r="F265" s="3473">
        <v>0.05</v>
      </c>
      <c r="G265" s="3490"/>
    </row>
    <row r="266" spans="1:7">
      <c r="A266" s="3483" t="s">
        <v>1155</v>
      </c>
      <c r="B266" s="3472" t="s">
        <v>3115</v>
      </c>
      <c r="C266" s="3484"/>
      <c r="D266" s="3484"/>
      <c r="E266" s="3484"/>
      <c r="F266" s="3473">
        <v>0.05</v>
      </c>
      <c r="G266" s="3490"/>
    </row>
    <row r="267" spans="1:7">
      <c r="A267" s="3483" t="s">
        <v>1155</v>
      </c>
      <c r="B267" s="3472" t="s">
        <v>3116</v>
      </c>
      <c r="C267" s="3484"/>
      <c r="D267" s="3484"/>
      <c r="E267" s="3484"/>
      <c r="F267" s="3473">
        <v>0.05</v>
      </c>
      <c r="G267" s="3490"/>
    </row>
    <row r="268" spans="1:7">
      <c r="A268" s="3483" t="s">
        <v>1155</v>
      </c>
      <c r="B268" s="3472" t="s">
        <v>3117</v>
      </c>
      <c r="C268" s="3484"/>
      <c r="D268" s="3484"/>
      <c r="E268" s="3484"/>
      <c r="F268" s="3473">
        <v>0.05</v>
      </c>
      <c r="G268" s="3490"/>
    </row>
    <row r="269" spans="1:7">
      <c r="A269" s="3483" t="s">
        <v>1155</v>
      </c>
      <c r="B269" s="3472" t="s">
        <v>3118</v>
      </c>
      <c r="C269" s="3484"/>
      <c r="D269" s="3484"/>
      <c r="E269" s="3484"/>
      <c r="F269" s="3473">
        <v>0.05</v>
      </c>
      <c r="G269" s="3490"/>
    </row>
    <row r="270" spans="1:7">
      <c r="A270" s="3483" t="s">
        <v>1155</v>
      </c>
      <c r="B270" s="3472" t="s">
        <v>3119</v>
      </c>
      <c r="C270" s="3484"/>
      <c r="D270" s="3484"/>
      <c r="E270" s="3484"/>
      <c r="F270" s="3473">
        <v>0.05</v>
      </c>
      <c r="G270" s="3490"/>
    </row>
    <row r="271" spans="1:7">
      <c r="A271" s="3483" t="s">
        <v>1155</v>
      </c>
      <c r="B271" s="3472" t="s">
        <v>3120</v>
      </c>
      <c r="C271" s="3484"/>
      <c r="D271" s="3484"/>
      <c r="E271" s="3484"/>
      <c r="F271" s="3473">
        <v>0.05</v>
      </c>
      <c r="G271" s="3490"/>
    </row>
    <row r="272" spans="1:7">
      <c r="A272" s="3483" t="s">
        <v>1155</v>
      </c>
      <c r="B272" s="3472" t="s">
        <v>3121</v>
      </c>
      <c r="C272" s="3484"/>
      <c r="D272" s="3484"/>
      <c r="E272" s="3484"/>
      <c r="F272" s="3473">
        <v>0.05</v>
      </c>
      <c r="G272" s="3490"/>
    </row>
    <row r="273" spans="1:7">
      <c r="A273" s="3483" t="s">
        <v>1155</v>
      </c>
      <c r="B273" s="3472" t="s">
        <v>3122</v>
      </c>
      <c r="C273" s="3484"/>
      <c r="D273" s="3484"/>
      <c r="E273" s="3484"/>
      <c r="F273" s="3473">
        <v>0.05</v>
      </c>
      <c r="G273" s="3490"/>
    </row>
    <row r="274" spans="1:7">
      <c r="A274" s="3483" t="s">
        <v>1155</v>
      </c>
      <c r="B274" s="3472" t="s">
        <v>3123</v>
      </c>
      <c r="C274" s="3484"/>
      <c r="D274" s="3484"/>
      <c r="E274" s="3484"/>
      <c r="F274" s="3473">
        <v>0.05</v>
      </c>
      <c r="G274" s="3490"/>
    </row>
    <row r="275" spans="1:7">
      <c r="A275" s="3483" t="s">
        <v>1155</v>
      </c>
      <c r="B275" s="3472" t="s">
        <v>3124</v>
      </c>
      <c r="C275" s="3484"/>
      <c r="D275" s="3484"/>
      <c r="E275" s="3484"/>
      <c r="F275" s="3473">
        <v>0.05</v>
      </c>
      <c r="G275" s="3490"/>
    </row>
    <row r="276" spans="1:7" ht="14.25" thickBot="1">
      <c r="A276" s="3486" t="s">
        <v>1155</v>
      </c>
      <c r="B276" s="3476" t="s">
        <v>3125</v>
      </c>
      <c r="C276" s="3478"/>
      <c r="D276" s="3478"/>
      <c r="E276" s="3478"/>
      <c r="F276" s="3477">
        <v>0.05</v>
      </c>
      <c r="G276" s="3491"/>
    </row>
    <row r="277" spans="1:7">
      <c r="A277" s="3482" t="s">
        <v>1156</v>
      </c>
      <c r="B277" s="3468" t="s">
        <v>3126</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3127</v>
      </c>
      <c r="C279" s="3473">
        <v>0.15</v>
      </c>
      <c r="D279" s="3473">
        <v>0.15</v>
      </c>
      <c r="E279" s="3473">
        <v>0.15</v>
      </c>
      <c r="F279" s="3473">
        <v>0.15</v>
      </c>
      <c r="G279" s="3474">
        <v>0.15</v>
      </c>
    </row>
    <row r="280" spans="1:7">
      <c r="A280" s="3483" t="s">
        <v>1156</v>
      </c>
      <c r="B280" s="3472" t="s">
        <v>3128</v>
      </c>
      <c r="C280" s="3473">
        <v>0.15</v>
      </c>
      <c r="D280" s="3473">
        <v>0.15</v>
      </c>
      <c r="E280" s="3473">
        <v>0.15</v>
      </c>
      <c r="F280" s="3473">
        <v>0.15</v>
      </c>
      <c r="G280" s="3474">
        <v>0.15</v>
      </c>
    </row>
    <row r="281" spans="1:7">
      <c r="A281" s="3483" t="s">
        <v>1156</v>
      </c>
      <c r="B281" s="3472" t="s">
        <v>3129</v>
      </c>
      <c r="C281" s="3473">
        <v>0.15</v>
      </c>
      <c r="D281" s="3473">
        <v>0.15</v>
      </c>
      <c r="E281" s="3473">
        <v>0.15</v>
      </c>
      <c r="F281" s="3473">
        <v>0.15</v>
      </c>
      <c r="G281" s="3474">
        <v>0.15</v>
      </c>
    </row>
    <row r="282" spans="1:7">
      <c r="A282" s="3483" t="s">
        <v>1156</v>
      </c>
      <c r="B282" s="3472" t="s">
        <v>3130</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3131</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3132</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2955</v>
      </c>
      <c r="C293" s="3473">
        <v>0.15</v>
      </c>
      <c r="D293" s="3473">
        <v>0.15</v>
      </c>
      <c r="E293" s="3473">
        <v>0.15</v>
      </c>
      <c r="F293" s="3473">
        <v>0.14499999999999999</v>
      </c>
      <c r="G293" s="3474">
        <v>0.15</v>
      </c>
    </row>
    <row r="294" spans="1:7">
      <c r="A294" s="3483" t="s">
        <v>1156</v>
      </c>
      <c r="B294" s="3472" t="s">
        <v>3133</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2957</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3134</v>
      </c>
      <c r="C302" s="3473">
        <v>0.15</v>
      </c>
      <c r="D302" s="3473">
        <v>0.15</v>
      </c>
      <c r="E302" s="3473">
        <v>0.15</v>
      </c>
      <c r="F302" s="3473">
        <v>0.14699999999999999</v>
      </c>
      <c r="G302" s="3474">
        <v>0.15</v>
      </c>
    </row>
    <row r="303" spans="1:7">
      <c r="A303" s="3483" t="s">
        <v>1156</v>
      </c>
      <c r="B303" s="3472" t="s">
        <v>2959</v>
      </c>
      <c r="C303" s="3473">
        <v>0.15</v>
      </c>
      <c r="D303" s="3473">
        <v>0.15</v>
      </c>
      <c r="E303" s="3473">
        <v>0.15</v>
      </c>
      <c r="F303" s="3473">
        <v>0.14199999999999999</v>
      </c>
      <c r="G303" s="3474">
        <v>0.15</v>
      </c>
    </row>
    <row r="304" spans="1:7">
      <c r="A304" s="3483" t="s">
        <v>1156</v>
      </c>
      <c r="B304" s="3472" t="s">
        <v>2960</v>
      </c>
      <c r="C304" s="3473">
        <v>0.15</v>
      </c>
      <c r="D304" s="3473">
        <v>0.15</v>
      </c>
      <c r="E304" s="3473">
        <v>0.15</v>
      </c>
      <c r="F304" s="3473">
        <v>0.14499999999999999</v>
      </c>
      <c r="G304" s="3474">
        <v>0.15</v>
      </c>
    </row>
    <row r="305" spans="1:7">
      <c r="A305" s="3483" t="s">
        <v>1156</v>
      </c>
      <c r="B305" s="3472" t="s">
        <v>2961</v>
      </c>
      <c r="C305" s="3473">
        <v>0.15</v>
      </c>
      <c r="D305" s="3473">
        <v>0.15</v>
      </c>
      <c r="E305" s="3473">
        <v>0.15</v>
      </c>
      <c r="F305" s="3473">
        <v>0.111</v>
      </c>
      <c r="G305" s="3474">
        <v>0.15</v>
      </c>
    </row>
    <row r="306" spans="1:7">
      <c r="A306" s="3483" t="s">
        <v>1156</v>
      </c>
      <c r="B306" s="3472" t="s">
        <v>3135</v>
      </c>
      <c r="C306" s="3473">
        <v>0.15</v>
      </c>
      <c r="D306" s="3473">
        <v>0.15</v>
      </c>
      <c r="E306" s="3473">
        <v>0.15</v>
      </c>
      <c r="F306" s="3473">
        <v>0.126</v>
      </c>
      <c r="G306" s="3474">
        <v>0.15</v>
      </c>
    </row>
    <row r="307" spans="1:7">
      <c r="A307" s="3483" t="s">
        <v>1156</v>
      </c>
      <c r="B307" s="3472" t="s">
        <v>2963</v>
      </c>
      <c r="C307" s="3473">
        <v>0.15</v>
      </c>
      <c r="D307" s="3473">
        <v>0.15</v>
      </c>
      <c r="E307" s="3473">
        <v>0.15</v>
      </c>
      <c r="F307" s="3473">
        <v>0.12</v>
      </c>
      <c r="G307" s="3474">
        <v>0.15</v>
      </c>
    </row>
    <row r="308" spans="1:7">
      <c r="A308" s="3483" t="s">
        <v>1156</v>
      </c>
      <c r="B308" s="3472" t="s">
        <v>3136</v>
      </c>
      <c r="C308" s="3473">
        <v>0.15</v>
      </c>
      <c r="D308" s="3473">
        <v>0.15</v>
      </c>
      <c r="E308" s="3473">
        <v>0.15</v>
      </c>
      <c r="F308" s="3473">
        <v>0.13</v>
      </c>
      <c r="G308" s="3474">
        <v>0.15</v>
      </c>
    </row>
    <row r="309" spans="1:7">
      <c r="A309" s="3483" t="s">
        <v>1156</v>
      </c>
      <c r="B309" s="3472" t="s">
        <v>3137</v>
      </c>
      <c r="C309" s="3473">
        <v>0.15</v>
      </c>
      <c r="D309" s="3473">
        <v>0.15</v>
      </c>
      <c r="E309" s="3473">
        <v>0.15</v>
      </c>
      <c r="F309" s="3473">
        <v>0.14099999999999999</v>
      </c>
      <c r="G309" s="3474">
        <v>0.15</v>
      </c>
    </row>
    <row r="310" spans="1:7">
      <c r="A310" s="3483" t="s">
        <v>1156</v>
      </c>
      <c r="B310" s="3472" t="s">
        <v>2966</v>
      </c>
      <c r="C310" s="3473">
        <v>0.15</v>
      </c>
      <c r="D310" s="3473">
        <v>0.15</v>
      </c>
      <c r="E310" s="3473">
        <v>0.15</v>
      </c>
      <c r="F310" s="3473">
        <v>0.15</v>
      </c>
      <c r="G310" s="3474">
        <v>0.15</v>
      </c>
    </row>
    <row r="311" spans="1:7">
      <c r="A311" s="3483" t="s">
        <v>1156</v>
      </c>
      <c r="B311" s="3472" t="s">
        <v>3138</v>
      </c>
      <c r="C311" s="3473">
        <v>0.13200000000000001</v>
      </c>
      <c r="D311" s="3473">
        <v>0.13300000000000001</v>
      </c>
      <c r="E311" s="3473">
        <v>0.14499999999999999</v>
      </c>
      <c r="F311" s="3473">
        <v>0.14199999999999999</v>
      </c>
      <c r="G311" s="3474">
        <v>0.14000000000000001</v>
      </c>
    </row>
    <row r="312" spans="1:7">
      <c r="A312" s="3483" t="s">
        <v>1156</v>
      </c>
      <c r="B312" s="3472" t="s">
        <v>2968</v>
      </c>
      <c r="C312" s="3473">
        <v>0.13800000000000001</v>
      </c>
      <c r="D312" s="3473">
        <v>0.14000000000000001</v>
      </c>
      <c r="E312" s="3473">
        <v>0.14599999999999999</v>
      </c>
      <c r="F312" s="3473">
        <v>0.14899999999999999</v>
      </c>
      <c r="G312" s="3474">
        <v>0.14199999999999999</v>
      </c>
    </row>
    <row r="313" spans="1:7">
      <c r="A313" s="3483" t="s">
        <v>1156</v>
      </c>
      <c r="B313" s="3472" t="s">
        <v>2969</v>
      </c>
      <c r="C313" s="3473">
        <v>0.125</v>
      </c>
      <c r="D313" s="3473">
        <v>0.127</v>
      </c>
      <c r="E313" s="3473">
        <v>0.14399999999999999</v>
      </c>
      <c r="F313" s="3473">
        <v>0.115</v>
      </c>
      <c r="G313" s="3474">
        <v>0.13600000000000001</v>
      </c>
    </row>
    <row r="314" spans="1:7">
      <c r="A314" s="3483" t="s">
        <v>1156</v>
      </c>
      <c r="B314" s="3472" t="s">
        <v>3139</v>
      </c>
      <c r="C314" s="3489"/>
      <c r="D314" s="3489"/>
      <c r="E314" s="3489"/>
      <c r="F314" s="3473">
        <v>0.05</v>
      </c>
      <c r="G314" s="3490"/>
    </row>
    <row r="315" spans="1:7">
      <c r="A315" s="3483" t="s">
        <v>1156</v>
      </c>
      <c r="B315" s="3472" t="s">
        <v>3140</v>
      </c>
      <c r="C315" s="3489"/>
      <c r="D315" s="3489"/>
      <c r="E315" s="3489"/>
      <c r="F315" s="3473">
        <v>0.05</v>
      </c>
      <c r="G315" s="3490"/>
    </row>
    <row r="316" spans="1:7">
      <c r="A316" s="3483" t="s">
        <v>1156</v>
      </c>
      <c r="B316" s="3472" t="s">
        <v>3141</v>
      </c>
      <c r="C316" s="3484"/>
      <c r="D316" s="3484"/>
      <c r="E316" s="3484"/>
      <c r="F316" s="3473">
        <v>0.05</v>
      </c>
      <c r="G316" s="3490"/>
    </row>
    <row r="317" spans="1:7">
      <c r="A317" s="3483" t="s">
        <v>1156</v>
      </c>
      <c r="B317" s="3472" t="s">
        <v>3142</v>
      </c>
      <c r="C317" s="3484"/>
      <c r="D317" s="3484"/>
      <c r="E317" s="3484"/>
      <c r="F317" s="3473">
        <v>0.05</v>
      </c>
      <c r="G317" s="3490"/>
    </row>
    <row r="318" spans="1:7">
      <c r="A318" s="3483" t="s">
        <v>1156</v>
      </c>
      <c r="B318" s="3472" t="s">
        <v>3143</v>
      </c>
      <c r="C318" s="3484"/>
      <c r="D318" s="3484"/>
      <c r="E318" s="3484"/>
      <c r="F318" s="3473">
        <v>0.05</v>
      </c>
      <c r="G318" s="3490"/>
    </row>
    <row r="319" spans="1:7">
      <c r="A319" s="3483" t="s">
        <v>1156</v>
      </c>
      <c r="B319" s="3472" t="s">
        <v>3144</v>
      </c>
      <c r="C319" s="3484"/>
      <c r="D319" s="3484"/>
      <c r="E319" s="3484"/>
      <c r="F319" s="3473">
        <v>0.05</v>
      </c>
      <c r="G319" s="3490"/>
    </row>
    <row r="320" spans="1:7">
      <c r="A320" s="3483" t="s">
        <v>1156</v>
      </c>
      <c r="B320" s="3472" t="s">
        <v>3145</v>
      </c>
      <c r="C320" s="3484"/>
      <c r="D320" s="3484"/>
      <c r="E320" s="3484"/>
      <c r="F320" s="3473">
        <v>0.05</v>
      </c>
      <c r="G320" s="3490"/>
    </row>
    <row r="321" spans="1:7">
      <c r="A321" s="3483" t="s">
        <v>1156</v>
      </c>
      <c r="B321" s="3472" t="s">
        <v>3146</v>
      </c>
      <c r="C321" s="3484"/>
      <c r="D321" s="3484"/>
      <c r="E321" s="3484"/>
      <c r="F321" s="3473">
        <v>0.05</v>
      </c>
      <c r="G321" s="3490"/>
    </row>
    <row r="322" spans="1:7">
      <c r="A322" s="3483" t="s">
        <v>1156</v>
      </c>
      <c r="B322" s="3472" t="s">
        <v>3147</v>
      </c>
      <c r="C322" s="3484"/>
      <c r="D322" s="3484"/>
      <c r="E322" s="3484"/>
      <c r="F322" s="3473">
        <v>0.05</v>
      </c>
      <c r="G322" s="3490"/>
    </row>
    <row r="323" spans="1:7">
      <c r="A323" s="3483" t="s">
        <v>1156</v>
      </c>
      <c r="B323" s="3472" t="s">
        <v>3148</v>
      </c>
      <c r="C323" s="3484"/>
      <c r="D323" s="3484"/>
      <c r="E323" s="3484"/>
      <c r="F323" s="3473">
        <v>0.05</v>
      </c>
      <c r="G323" s="3490"/>
    </row>
    <row r="324" spans="1:7">
      <c r="A324" s="3483" t="s">
        <v>1156</v>
      </c>
      <c r="B324" s="3472" t="s">
        <v>3149</v>
      </c>
      <c r="C324" s="3484"/>
      <c r="D324" s="3484"/>
      <c r="E324" s="3484"/>
      <c r="F324" s="3473">
        <v>0.05</v>
      </c>
      <c r="G324" s="3490"/>
    </row>
    <row r="325" spans="1:7">
      <c r="A325" s="3483" t="s">
        <v>1156</v>
      </c>
      <c r="B325" s="3472" t="s">
        <v>3150</v>
      </c>
      <c r="C325" s="3484"/>
      <c r="D325" s="3484"/>
      <c r="E325" s="3484"/>
      <c r="F325" s="3473">
        <v>0.05</v>
      </c>
      <c r="G325" s="3490"/>
    </row>
    <row r="326" spans="1:7" ht="14.25" thickBot="1">
      <c r="A326" s="3486" t="s">
        <v>1156</v>
      </c>
      <c r="B326" s="3476" t="s">
        <v>3151</v>
      </c>
      <c r="C326" s="3478"/>
      <c r="D326" s="3478"/>
      <c r="E326" s="3478"/>
      <c r="F326" s="3477">
        <v>0.05</v>
      </c>
      <c r="G326" s="3491"/>
    </row>
    <row r="327" spans="1:7">
      <c r="A327" s="3482" t="s">
        <v>1157</v>
      </c>
      <c r="B327" s="3468" t="s">
        <v>3152</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3153</v>
      </c>
      <c r="C329" s="3473">
        <v>0.15</v>
      </c>
      <c r="D329" s="3473">
        <v>0.15</v>
      </c>
      <c r="E329" s="3473">
        <v>0.15</v>
      </c>
      <c r="F329" s="3473">
        <v>0.15</v>
      </c>
      <c r="G329" s="3474">
        <v>0.15</v>
      </c>
    </row>
    <row r="330" spans="1:7">
      <c r="A330" s="3483" t="s">
        <v>1157</v>
      </c>
      <c r="B330" s="3472" t="s">
        <v>3154</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2986</v>
      </c>
      <c r="C332" s="3473">
        <v>0.15</v>
      </c>
      <c r="D332" s="3473">
        <v>0.15</v>
      </c>
      <c r="E332" s="3473">
        <v>0.15</v>
      </c>
      <c r="F332" s="3473">
        <v>0.15</v>
      </c>
      <c r="G332" s="3474">
        <v>0.15</v>
      </c>
    </row>
    <row r="333" spans="1:7">
      <c r="A333" s="3483" t="s">
        <v>1157</v>
      </c>
      <c r="B333" s="3472" t="s">
        <v>3155</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2988</v>
      </c>
      <c r="C336" s="3473">
        <v>0.15</v>
      </c>
      <c r="D336" s="3473">
        <v>0.15</v>
      </c>
      <c r="E336" s="3473">
        <v>0.15</v>
      </c>
      <c r="F336" s="3473">
        <v>0.14199999999999999</v>
      </c>
      <c r="G336" s="3474">
        <v>0.15</v>
      </c>
    </row>
    <row r="337" spans="1:7">
      <c r="A337" s="3483" t="s">
        <v>1157</v>
      </c>
      <c r="B337" s="3472" t="s">
        <v>3156</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3157</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3158</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2992</v>
      </c>
      <c r="C345" s="3473">
        <v>0.15</v>
      </c>
      <c r="D345" s="3473">
        <v>0.15</v>
      </c>
      <c r="E345" s="3473">
        <v>0.15</v>
      </c>
      <c r="F345" s="3473">
        <v>0.13800000000000001</v>
      </c>
      <c r="G345" s="3474">
        <v>0.15</v>
      </c>
    </row>
    <row r="346" spans="1:7">
      <c r="A346" s="3483" t="s">
        <v>1157</v>
      </c>
      <c r="B346" s="3472" t="s">
        <v>3159</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2994</v>
      </c>
      <c r="C348" s="3473">
        <v>0.15</v>
      </c>
      <c r="D348" s="3473">
        <v>0.15</v>
      </c>
      <c r="E348" s="3473">
        <v>0.15</v>
      </c>
      <c r="F348" s="3473">
        <v>0.14399999999999999</v>
      </c>
      <c r="G348" s="3474">
        <v>0.15</v>
      </c>
    </row>
    <row r="349" spans="1:7">
      <c r="A349" s="3483" t="s">
        <v>1157</v>
      </c>
      <c r="B349" s="3472" t="s">
        <v>2995</v>
      </c>
      <c r="C349" s="3473">
        <v>0.15</v>
      </c>
      <c r="D349" s="3473">
        <v>0.15</v>
      </c>
      <c r="E349" s="3473">
        <v>0.15</v>
      </c>
      <c r="F349" s="3473">
        <v>0.15</v>
      </c>
      <c r="G349" s="3474">
        <v>0.15</v>
      </c>
    </row>
    <row r="350" spans="1:7">
      <c r="A350" s="3483" t="s">
        <v>1157</v>
      </c>
      <c r="B350" s="3472" t="s">
        <v>3160</v>
      </c>
      <c r="C350" s="3473">
        <v>0.15</v>
      </c>
      <c r="D350" s="3473">
        <v>0.15</v>
      </c>
      <c r="E350" s="3473">
        <v>0.15</v>
      </c>
      <c r="F350" s="3473">
        <v>0.14699999999999999</v>
      </c>
      <c r="G350" s="3474">
        <v>0.15</v>
      </c>
    </row>
    <row r="351" spans="1:7">
      <c r="A351" s="3483" t="s">
        <v>1157</v>
      </c>
      <c r="B351" s="3472" t="s">
        <v>2997</v>
      </c>
      <c r="C351" s="3473">
        <v>0.15</v>
      </c>
      <c r="D351" s="3473">
        <v>0.15</v>
      </c>
      <c r="E351" s="3473">
        <v>0.15</v>
      </c>
      <c r="F351" s="3473">
        <v>0.13</v>
      </c>
      <c r="G351" s="3474">
        <v>0.15</v>
      </c>
    </row>
    <row r="352" spans="1:7">
      <c r="A352" s="3483" t="s">
        <v>1157</v>
      </c>
      <c r="B352" s="3472" t="s">
        <v>2998</v>
      </c>
      <c r="C352" s="3473">
        <v>0.15</v>
      </c>
      <c r="D352" s="3473">
        <v>0.15</v>
      </c>
      <c r="E352" s="3473">
        <v>0.15</v>
      </c>
      <c r="F352" s="3473">
        <v>0.14599999999999999</v>
      </c>
      <c r="G352" s="3474">
        <v>0.15</v>
      </c>
    </row>
    <row r="353" spans="1:7">
      <c r="A353" s="3483" t="s">
        <v>1157</v>
      </c>
      <c r="B353" s="3472" t="s">
        <v>3161</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3000</v>
      </c>
      <c r="C355" s="3473">
        <v>0.15</v>
      </c>
      <c r="D355" s="3473">
        <v>0.15</v>
      </c>
      <c r="E355" s="3473">
        <v>0.15</v>
      </c>
      <c r="F355" s="3473">
        <v>0.15</v>
      </c>
      <c r="G355" s="3474">
        <v>0.15</v>
      </c>
    </row>
    <row r="356" spans="1:7">
      <c r="A356" s="3483" t="s">
        <v>1157</v>
      </c>
      <c r="B356" s="3472" t="s">
        <v>3001</v>
      </c>
      <c r="C356" s="3473">
        <v>0.15</v>
      </c>
      <c r="D356" s="3473">
        <v>0.15</v>
      </c>
      <c r="E356" s="3473">
        <v>0.15</v>
      </c>
      <c r="F356" s="3473">
        <v>0.15</v>
      </c>
      <c r="G356" s="3474">
        <v>0.15</v>
      </c>
    </row>
    <row r="357" spans="1:7" ht="14.25" thickBot="1">
      <c r="A357" s="3486" t="s">
        <v>1157</v>
      </c>
      <c r="B357" s="3476" t="s">
        <v>3162</v>
      </c>
      <c r="C357" s="3477">
        <v>0.126</v>
      </c>
      <c r="D357" s="3477">
        <v>0.127</v>
      </c>
      <c r="E357" s="3477">
        <v>0.14299999999999999</v>
      </c>
      <c r="F357" s="3477">
        <v>0.125</v>
      </c>
      <c r="G357" s="3479">
        <v>0.129</v>
      </c>
    </row>
    <row r="358" spans="1:7">
      <c r="A358" s="3482" t="s">
        <v>3163</v>
      </c>
      <c r="B358" s="3468" t="s">
        <v>3164</v>
      </c>
      <c r="C358" s="3469">
        <v>0.15</v>
      </c>
      <c r="D358" s="3469">
        <v>0.15</v>
      </c>
      <c r="E358" s="3469">
        <v>0.15</v>
      </c>
      <c r="F358" s="3469">
        <v>0.15</v>
      </c>
      <c r="G358" s="3470">
        <v>0.15</v>
      </c>
    </row>
    <row r="359" spans="1:7">
      <c r="A359" s="3483" t="s">
        <v>3163</v>
      </c>
      <c r="B359" s="3472" t="s">
        <v>3165</v>
      </c>
      <c r="C359" s="3473">
        <v>0.1</v>
      </c>
      <c r="D359" s="3473">
        <v>0.1</v>
      </c>
      <c r="E359" s="3473">
        <v>0.1</v>
      </c>
      <c r="F359" s="3473">
        <v>0.1</v>
      </c>
      <c r="G359" s="3474">
        <v>0.1</v>
      </c>
    </row>
    <row r="360" spans="1:7">
      <c r="A360" s="3483" t="s">
        <v>3163</v>
      </c>
      <c r="B360" s="3472" t="s">
        <v>3166</v>
      </c>
      <c r="C360" s="3473">
        <v>0.15</v>
      </c>
      <c r="D360" s="3473">
        <v>0.15</v>
      </c>
      <c r="E360" s="3473">
        <v>0.15</v>
      </c>
      <c r="F360" s="3473">
        <v>0.14899999999999999</v>
      </c>
      <c r="G360" s="3474">
        <v>0.15</v>
      </c>
    </row>
    <row r="361" spans="1:7">
      <c r="A361" s="3483" t="s">
        <v>3163</v>
      </c>
      <c r="B361" s="3472" t="s">
        <v>999</v>
      </c>
      <c r="C361" s="3473">
        <v>0.15</v>
      </c>
      <c r="D361" s="3473">
        <v>0.15</v>
      </c>
      <c r="E361" s="3473">
        <v>0.15</v>
      </c>
      <c r="F361" s="3473">
        <v>0.115</v>
      </c>
      <c r="G361" s="3474">
        <v>0.15</v>
      </c>
    </row>
    <row r="362" spans="1:7">
      <c r="A362" s="3483" t="s">
        <v>3163</v>
      </c>
      <c r="B362" s="3472" t="s">
        <v>3167</v>
      </c>
      <c r="C362" s="3473">
        <v>0.15</v>
      </c>
      <c r="D362" s="3473">
        <v>0.15</v>
      </c>
      <c r="E362" s="3473">
        <v>0.15</v>
      </c>
      <c r="F362" s="3473">
        <v>0.106</v>
      </c>
      <c r="G362" s="3474">
        <v>0.15</v>
      </c>
    </row>
    <row r="363" spans="1:7">
      <c r="A363" s="3483" t="s">
        <v>3163</v>
      </c>
      <c r="B363" s="3472" t="s">
        <v>3007</v>
      </c>
      <c r="C363" s="3473">
        <v>0.15</v>
      </c>
      <c r="D363" s="3473">
        <v>0.15</v>
      </c>
      <c r="E363" s="3473">
        <v>0.15</v>
      </c>
      <c r="F363" s="3473">
        <v>0.14699999999999999</v>
      </c>
      <c r="G363" s="3474">
        <v>0.15</v>
      </c>
    </row>
    <row r="364" spans="1:7">
      <c r="A364" s="3483" t="s">
        <v>3163</v>
      </c>
      <c r="B364" s="3472" t="s">
        <v>3168</v>
      </c>
      <c r="C364" s="3473">
        <v>0.15</v>
      </c>
      <c r="D364" s="3473">
        <v>0.15</v>
      </c>
      <c r="E364" s="3473">
        <v>0.15</v>
      </c>
      <c r="F364" s="3473">
        <v>0.14799999999999999</v>
      </c>
      <c r="G364" s="3474">
        <v>0.15</v>
      </c>
    </row>
    <row r="365" spans="1:7">
      <c r="A365" s="3483" t="s">
        <v>3163</v>
      </c>
      <c r="B365" s="3472" t="s">
        <v>1047</v>
      </c>
      <c r="C365" s="3473">
        <v>0.15</v>
      </c>
      <c r="D365" s="3473">
        <v>0.15</v>
      </c>
      <c r="E365" s="3473">
        <v>0.15</v>
      </c>
      <c r="F365" s="3473">
        <v>0.15</v>
      </c>
      <c r="G365" s="3474">
        <v>0.15</v>
      </c>
    </row>
    <row r="366" spans="1:7">
      <c r="A366" s="3483" t="s">
        <v>3163</v>
      </c>
      <c r="B366" s="3472" t="s">
        <v>3009</v>
      </c>
      <c r="C366" s="3473">
        <v>0.15</v>
      </c>
      <c r="D366" s="3473">
        <v>0.15</v>
      </c>
      <c r="E366" s="3473">
        <v>0.15</v>
      </c>
      <c r="F366" s="3473">
        <v>0.15</v>
      </c>
      <c r="G366" s="3474">
        <v>0.15</v>
      </c>
    </row>
    <row r="367" spans="1:7">
      <c r="A367" s="3483" t="s">
        <v>3163</v>
      </c>
      <c r="B367" s="3472" t="s">
        <v>3169</v>
      </c>
      <c r="C367" s="3473">
        <v>0.15</v>
      </c>
      <c r="D367" s="3473">
        <v>0.15</v>
      </c>
      <c r="E367" s="3473">
        <v>0.15</v>
      </c>
      <c r="F367" s="3473">
        <v>0.14699999999999999</v>
      </c>
      <c r="G367" s="3474">
        <v>0.15</v>
      </c>
    </row>
    <row r="368" spans="1:7">
      <c r="A368" s="3483" t="s">
        <v>3163</v>
      </c>
      <c r="B368" s="3472" t="s">
        <v>3170</v>
      </c>
      <c r="C368" s="3473">
        <v>0.15</v>
      </c>
      <c r="D368" s="3473">
        <v>0.15</v>
      </c>
      <c r="E368" s="3473">
        <v>0.15</v>
      </c>
      <c r="F368" s="3473">
        <v>0.13600000000000001</v>
      </c>
      <c r="G368" s="3474">
        <v>0.15</v>
      </c>
    </row>
    <row r="369" spans="1:7">
      <c r="A369" s="3483" t="s">
        <v>3163</v>
      </c>
      <c r="B369" s="3472" t="s">
        <v>1061</v>
      </c>
      <c r="C369" s="3473">
        <v>0.15</v>
      </c>
      <c r="D369" s="3473">
        <v>0.15</v>
      </c>
      <c r="E369" s="3473">
        <v>0.15</v>
      </c>
      <c r="F369" s="3473">
        <v>0.14399999999999999</v>
      </c>
      <c r="G369" s="3474">
        <v>0.15</v>
      </c>
    </row>
    <row r="370" spans="1:7">
      <c r="A370" s="3483" t="s">
        <v>3163</v>
      </c>
      <c r="B370" s="3472" t="s">
        <v>1069</v>
      </c>
      <c r="C370" s="3473">
        <v>0.15</v>
      </c>
      <c r="D370" s="3473">
        <v>0.15</v>
      </c>
      <c r="E370" s="3473">
        <v>0.15</v>
      </c>
      <c r="F370" s="3473">
        <v>0.14599999999999999</v>
      </c>
      <c r="G370" s="3474">
        <v>0.15</v>
      </c>
    </row>
    <row r="371" spans="1:7">
      <c r="A371" s="3483" t="s">
        <v>3163</v>
      </c>
      <c r="B371" s="3472" t="s">
        <v>1077</v>
      </c>
      <c r="C371" s="3473">
        <v>0.15</v>
      </c>
      <c r="D371" s="3473">
        <v>0.15</v>
      </c>
      <c r="E371" s="3473">
        <v>0.15</v>
      </c>
      <c r="F371" s="3473">
        <v>0.12</v>
      </c>
      <c r="G371" s="3474">
        <v>0.15</v>
      </c>
    </row>
    <row r="372" spans="1:7">
      <c r="A372" s="3483" t="s">
        <v>3163</v>
      </c>
      <c r="B372" s="3472" t="s">
        <v>3171</v>
      </c>
      <c r="C372" s="3473">
        <v>0.15</v>
      </c>
      <c r="D372" s="3473">
        <v>0.15</v>
      </c>
      <c r="E372" s="3473">
        <v>0.15</v>
      </c>
      <c r="F372" s="3473">
        <v>0.14299999999999999</v>
      </c>
      <c r="G372" s="3474">
        <v>0.15</v>
      </c>
    </row>
    <row r="373" spans="1:7">
      <c r="A373" s="3483" t="s">
        <v>3163</v>
      </c>
      <c r="B373" s="3472" t="s">
        <v>1106</v>
      </c>
      <c r="C373" s="3473">
        <v>0.15</v>
      </c>
      <c r="D373" s="3473">
        <v>0.15</v>
      </c>
      <c r="E373" s="3473">
        <v>0.15</v>
      </c>
      <c r="F373" s="3473">
        <v>0.14599999999999999</v>
      </c>
      <c r="G373" s="3474">
        <v>0.15</v>
      </c>
    </row>
    <row r="374" spans="1:7">
      <c r="A374" s="3483" t="s">
        <v>3163</v>
      </c>
      <c r="B374" s="3472" t="s">
        <v>1114</v>
      </c>
      <c r="C374" s="3473">
        <v>0.15</v>
      </c>
      <c r="D374" s="3473">
        <v>0.15</v>
      </c>
      <c r="E374" s="3473">
        <v>0.15</v>
      </c>
      <c r="F374" s="3473">
        <v>0.14399999999999999</v>
      </c>
      <c r="G374" s="3474">
        <v>0.15</v>
      </c>
    </row>
    <row r="375" spans="1:7">
      <c r="A375" s="3483" t="s">
        <v>3163</v>
      </c>
      <c r="B375" s="3472" t="s">
        <v>3172</v>
      </c>
      <c r="C375" s="3473">
        <v>0.15</v>
      </c>
      <c r="D375" s="3473">
        <v>0.15</v>
      </c>
      <c r="E375" s="3473">
        <v>0.15</v>
      </c>
      <c r="F375" s="3473">
        <v>0.13</v>
      </c>
      <c r="G375" s="3474">
        <v>0.15</v>
      </c>
    </row>
    <row r="376" spans="1:7">
      <c r="A376" s="3483" t="s">
        <v>3163</v>
      </c>
      <c r="B376" s="3472" t="s">
        <v>1126</v>
      </c>
      <c r="C376" s="3473">
        <v>0.15</v>
      </c>
      <c r="D376" s="3473">
        <v>0.15</v>
      </c>
      <c r="E376" s="3473">
        <v>0.15</v>
      </c>
      <c r="F376" s="3473">
        <v>0.14199999999999999</v>
      </c>
      <c r="G376" s="3474">
        <v>0.15</v>
      </c>
    </row>
    <row r="377" spans="1:7" ht="14.25" thickBot="1">
      <c r="A377" s="3486" t="s">
        <v>3163</v>
      </c>
      <c r="B377" s="3476" t="s">
        <v>3014</v>
      </c>
      <c r="C377" s="3477">
        <v>0.15</v>
      </c>
      <c r="D377" s="3477">
        <v>0.15</v>
      </c>
      <c r="E377" s="3477">
        <v>0.15</v>
      </c>
      <c r="F377" s="3477">
        <v>0.14000000000000001</v>
      </c>
      <c r="G377" s="3479">
        <v>0.15</v>
      </c>
    </row>
    <row r="378" spans="1:7">
      <c r="A378" s="3482" t="s">
        <v>3173</v>
      </c>
      <c r="B378" s="3468" t="s">
        <v>3174</v>
      </c>
      <c r="C378" s="3469">
        <v>0.15</v>
      </c>
      <c r="D378" s="3469">
        <v>0.15</v>
      </c>
      <c r="E378" s="3469">
        <v>0.15</v>
      </c>
      <c r="F378" s="3469">
        <v>0.107</v>
      </c>
      <c r="G378" s="3470">
        <v>0.15</v>
      </c>
    </row>
    <row r="379" spans="1:7">
      <c r="A379" s="3483" t="s">
        <v>3173</v>
      </c>
      <c r="B379" s="3472" t="s">
        <v>3175</v>
      </c>
      <c r="C379" s="3473">
        <v>0.15</v>
      </c>
      <c r="D379" s="3473">
        <v>0.15</v>
      </c>
      <c r="E379" s="3473">
        <v>0.15</v>
      </c>
      <c r="F379" s="3473">
        <v>0.115</v>
      </c>
      <c r="G379" s="3474">
        <v>0.14899999999999999</v>
      </c>
    </row>
    <row r="380" spans="1:7">
      <c r="A380" s="3483" t="s">
        <v>3176</v>
      </c>
      <c r="B380" s="3472" t="s">
        <v>3177</v>
      </c>
      <c r="C380" s="3473">
        <v>0.15</v>
      </c>
      <c r="D380" s="3473">
        <v>0.15</v>
      </c>
      <c r="E380" s="3473">
        <v>0.15</v>
      </c>
      <c r="F380" s="3473">
        <v>0.1</v>
      </c>
      <c r="G380" s="3474">
        <v>0.14799999999999999</v>
      </c>
    </row>
    <row r="381" spans="1:7">
      <c r="A381" s="3483" t="s">
        <v>3176</v>
      </c>
      <c r="B381" s="3472" t="s">
        <v>3178</v>
      </c>
      <c r="C381" s="3473">
        <v>0.15</v>
      </c>
      <c r="D381" s="3473">
        <v>0.15</v>
      </c>
      <c r="E381" s="3473">
        <v>0.15</v>
      </c>
      <c r="F381" s="3473">
        <v>0.126</v>
      </c>
      <c r="G381" s="3474">
        <v>0.15</v>
      </c>
    </row>
    <row r="382" spans="1:7">
      <c r="A382" s="3483" t="s">
        <v>3176</v>
      </c>
      <c r="B382" s="3472" t="s">
        <v>3179</v>
      </c>
      <c r="C382" s="3473">
        <v>0.15</v>
      </c>
      <c r="D382" s="3473">
        <v>0.15</v>
      </c>
      <c r="E382" s="3473">
        <v>0.15</v>
      </c>
      <c r="F382" s="3473">
        <v>0.15</v>
      </c>
      <c r="G382" s="3474">
        <v>0.15</v>
      </c>
    </row>
    <row r="383" spans="1:7">
      <c r="A383" s="3483" t="s">
        <v>3176</v>
      </c>
      <c r="B383" s="3472" t="s">
        <v>3180</v>
      </c>
      <c r="C383" s="3473">
        <v>0.15</v>
      </c>
      <c r="D383" s="3473">
        <v>0.15</v>
      </c>
      <c r="E383" s="3473">
        <v>0.15</v>
      </c>
      <c r="F383" s="3473">
        <v>0.14699999999999999</v>
      </c>
      <c r="G383" s="3474">
        <v>0.15</v>
      </c>
    </row>
    <row r="384" spans="1:7" ht="14.25" thickBot="1">
      <c r="A384" s="3493" t="s">
        <v>3176</v>
      </c>
      <c r="B384" s="3494" t="s">
        <v>3181</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56.25">
      <c r="A7" s="1582" t="s">
        <v>2026</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2023年4月18日（评估专业人员勘察现场之日）</v>
      </c>
    </row>
    <row r="12" spans="1:4" ht="18.75">
      <c r="A12" s="1584" t="s">
        <v>1542</v>
      </c>
    </row>
    <row r="13" spans="1:4" ht="18.75">
      <c r="A13" s="1578" t="s">
        <v>2196</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v>
      </c>
    </row>
    <row r="18" spans="1:1" ht="56.2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18.75">
      <c r="A21" s="1578" t="s">
        <v>1591</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本次估价对象为出让国有建设用地使用权，《国有土地使用证》[]证载土地终止日期为商业2060年3月11日、办公2070年3月11日、车库2070年3月11日。截至估价期日，出让国有建设用地使用权剩余土地使用年限为。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94" t="s">
        <v>1855</v>
      </c>
      <c r="C1" s="3994"/>
      <c r="D1" s="3994"/>
      <c r="E1" s="3994"/>
      <c r="F1" s="3994"/>
      <c r="G1" s="3993" t="s">
        <v>1856</v>
      </c>
      <c r="H1" s="3993"/>
      <c r="I1" s="3993"/>
      <c r="J1" s="3993"/>
      <c r="K1" s="3993"/>
      <c r="L1" s="3993"/>
      <c r="N1" s="3993" t="s">
        <v>1857</v>
      </c>
      <c r="O1" s="3993"/>
      <c r="P1" s="3993"/>
      <c r="Q1" s="3993"/>
      <c r="S1" s="3993" t="s">
        <v>1858</v>
      </c>
      <c r="T1" s="3993"/>
      <c r="U1" s="3993"/>
      <c r="V1" s="3993"/>
      <c r="X1" s="3992" t="s">
        <v>1918</v>
      </c>
      <c r="Y1" s="3993"/>
      <c r="Z1" s="3993"/>
      <c r="AA1" s="3993"/>
      <c r="AB1" s="3993"/>
      <c r="AD1" s="3992" t="s">
        <v>1922</v>
      </c>
      <c r="AE1" s="3993"/>
      <c r="AF1" s="3993"/>
      <c r="AG1" s="3993"/>
      <c r="AH1" s="3993"/>
    </row>
    <row r="2" spans="1:34" s="2617" customFormat="1" ht="14.25" thickBot="1">
      <c r="B2" s="2618" t="s">
        <v>1859</v>
      </c>
      <c r="C2" s="2618" t="s">
        <v>1920</v>
      </c>
      <c r="D2" s="2619" t="s">
        <v>1179</v>
      </c>
      <c r="E2" s="2619" t="s">
        <v>1469</v>
      </c>
      <c r="F2" s="2618" t="s">
        <v>1921</v>
      </c>
      <c r="G2" s="2620"/>
      <c r="I2" s="2618" t="s">
        <v>2209</v>
      </c>
      <c r="J2" s="2619" t="s">
        <v>2211</v>
      </c>
      <c r="K2" s="2619" t="s">
        <v>2212</v>
      </c>
      <c r="L2" s="2618" t="s">
        <v>2213</v>
      </c>
      <c r="N2" s="2618" t="s">
        <v>1859</v>
      </c>
      <c r="O2" s="2619" t="s">
        <v>2210</v>
      </c>
      <c r="P2" s="2619" t="s">
        <v>1469</v>
      </c>
      <c r="Q2" s="2618" t="s">
        <v>1921</v>
      </c>
      <c r="S2" s="2618" t="s">
        <v>1859</v>
      </c>
      <c r="T2" s="2619" t="s">
        <v>2210</v>
      </c>
      <c r="U2" s="2619" t="s">
        <v>1469</v>
      </c>
      <c r="V2" s="2618" t="s">
        <v>1921</v>
      </c>
      <c r="X2" s="2618" t="s">
        <v>1859</v>
      </c>
      <c r="Y2" s="2618" t="s">
        <v>1920</v>
      </c>
      <c r="Z2" s="2619" t="s">
        <v>1179</v>
      </c>
      <c r="AA2" s="2619" t="s">
        <v>1469</v>
      </c>
      <c r="AB2" s="2618" t="s">
        <v>1921</v>
      </c>
      <c r="AD2" s="2618" t="s">
        <v>1859</v>
      </c>
      <c r="AE2" s="2618" t="s">
        <v>1920</v>
      </c>
      <c r="AF2" s="2619" t="s">
        <v>1179</v>
      </c>
      <c r="AG2" s="2619" t="s">
        <v>1469</v>
      </c>
      <c r="AH2" s="2618" t="s">
        <v>1921</v>
      </c>
    </row>
    <row r="3" spans="1:34" s="2627" customFormat="1" ht="14.25">
      <c r="A3" s="2621" t="s">
        <v>2220</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2441</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2440</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2439</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2438</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2437</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2286</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2285</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2284</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2283</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2281</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2280</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2245</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2243</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2241</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2240</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2238</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2237</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2236</v>
      </c>
      <c r="B22" s="2651">
        <f t="shared" si="11"/>
        <v>464.37293017158942</v>
      </c>
      <c r="C22" s="2651">
        <f t="shared" si="12"/>
        <v>344.73679941385956</v>
      </c>
      <c r="D22" s="2651">
        <f t="shared" si="2"/>
        <v>344.73679941385956</v>
      </c>
      <c r="E22" s="2651">
        <f t="shared" si="3"/>
        <v>663.2377795103107</v>
      </c>
      <c r="F22" s="2652">
        <f t="shared" si="4"/>
        <v>304.75936311478398</v>
      </c>
      <c r="G22" s="3996">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2229</v>
      </c>
      <c r="B23" s="2641">
        <f t="shared" si="11"/>
        <v>459.95733971036987</v>
      </c>
      <c r="C23" s="2641">
        <f t="shared" si="12"/>
        <v>341.22221064422405</v>
      </c>
      <c r="D23" s="2641">
        <f t="shared" si="2"/>
        <v>341.22221064422405</v>
      </c>
      <c r="E23" s="2641">
        <f t="shared" si="3"/>
        <v>657.19161663724799</v>
      </c>
      <c r="F23" s="2641">
        <f t="shared" si="4"/>
        <v>300.87803644464805</v>
      </c>
      <c r="G23" s="3996"/>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2230</v>
      </c>
      <c r="B24" s="2641">
        <f t="shared" si="11"/>
        <v>453.11529869999993</v>
      </c>
      <c r="C24" s="2641">
        <f t="shared" si="12"/>
        <v>336.47787264000004</v>
      </c>
      <c r="D24" s="2641">
        <f t="shared" si="2"/>
        <v>336.47787264000004</v>
      </c>
      <c r="E24" s="2641">
        <f t="shared" si="3"/>
        <v>647.35186823999993</v>
      </c>
      <c r="F24" s="2641">
        <f t="shared" si="4"/>
        <v>295.73229452000004</v>
      </c>
      <c r="G24" s="3996"/>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2226</v>
      </c>
      <c r="B25" s="2641">
        <f t="shared" si="11"/>
        <v>446.46299999999997</v>
      </c>
      <c r="C25" s="2641">
        <f t="shared" si="12"/>
        <v>333.27840000000003</v>
      </c>
      <c r="D25" s="2641">
        <f t="shared" ref="D25:D30" si="13">C25</f>
        <v>333.27840000000003</v>
      </c>
      <c r="E25" s="2641">
        <f t="shared" si="3"/>
        <v>637.28279999999995</v>
      </c>
      <c r="F25" s="2641">
        <f t="shared" si="4"/>
        <v>288.68830000000003</v>
      </c>
      <c r="G25" s="4002"/>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2219</v>
      </c>
      <c r="B26" s="2657">
        <v>439</v>
      </c>
      <c r="C26" s="2657">
        <v>327</v>
      </c>
      <c r="D26" s="2657">
        <f t="shared" si="13"/>
        <v>327</v>
      </c>
      <c r="E26" s="2657">
        <v>627</v>
      </c>
      <c r="F26" s="2658">
        <v>283</v>
      </c>
      <c r="G26" s="4001">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2221</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96"/>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1860</v>
      </c>
      <c r="B28" s="2641">
        <f t="shared" si="16"/>
        <v>419.31181600000002</v>
      </c>
      <c r="C28" s="2641">
        <f t="shared" si="16"/>
        <v>313.95436800000004</v>
      </c>
      <c r="D28" s="2641">
        <f t="shared" si="13"/>
        <v>313.95436800000004</v>
      </c>
      <c r="E28" s="2641">
        <f t="shared" si="17"/>
        <v>596.63028431999999</v>
      </c>
      <c r="F28" s="2641">
        <f t="shared" si="17"/>
        <v>274.74220703999998</v>
      </c>
      <c r="G28" s="3996"/>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1861</v>
      </c>
      <c r="B29" s="2641">
        <f t="shared" si="16"/>
        <v>405.524</v>
      </c>
      <c r="C29" s="2641">
        <f t="shared" si="16"/>
        <v>307.79840000000002</v>
      </c>
      <c r="D29" s="2641">
        <f t="shared" si="13"/>
        <v>307.79840000000002</v>
      </c>
      <c r="E29" s="2641">
        <f t="shared" si="17"/>
        <v>574.67759999999998</v>
      </c>
      <c r="F29" s="2641">
        <f t="shared" si="17"/>
        <v>270.20280000000002</v>
      </c>
      <c r="G29" s="4002"/>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4001">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96"/>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96"/>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7"/>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95">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96"/>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96"/>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7"/>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95">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96"/>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96"/>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7"/>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1919</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1862</v>
      </c>
      <c r="B42" s="2662">
        <v>299</v>
      </c>
      <c r="C42" s="2662">
        <v>252</v>
      </c>
      <c r="D42" s="2662">
        <f t="shared" si="20"/>
        <v>252</v>
      </c>
      <c r="E42" s="2662">
        <v>409</v>
      </c>
      <c r="F42" s="2663">
        <v>227</v>
      </c>
      <c r="G42" s="3998">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1863</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9"/>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1864</v>
      </c>
      <c r="B44" s="2641">
        <f t="shared" si="27"/>
        <v>288.2649053828776</v>
      </c>
      <c r="C44" s="2641">
        <f t="shared" si="27"/>
        <v>243.64564425013293</v>
      </c>
      <c r="D44" s="2641">
        <f t="shared" si="20"/>
        <v>243.64564425013293</v>
      </c>
      <c r="E44" s="2641">
        <f t="shared" si="28"/>
        <v>393.31080825986544</v>
      </c>
      <c r="F44" s="2641">
        <f t="shared" si="28"/>
        <v>223.07903790551154</v>
      </c>
      <c r="G44" s="3999"/>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1865</v>
      </c>
      <c r="B45" s="2641">
        <f t="shared" si="27"/>
        <v>282.50186729015837</v>
      </c>
      <c r="C45" s="2641">
        <f t="shared" si="27"/>
        <v>238.09796174155468</v>
      </c>
      <c r="D45" s="2641">
        <f t="shared" si="20"/>
        <v>238.09796174155468</v>
      </c>
      <c r="E45" s="2641">
        <f t="shared" si="28"/>
        <v>385.33438646014054</v>
      </c>
      <c r="F45" s="2641">
        <f t="shared" si="28"/>
        <v>221.55034055567739</v>
      </c>
      <c r="G45" s="4000"/>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1866</v>
      </c>
      <c r="B46" s="2690">
        <v>278</v>
      </c>
      <c r="C46" s="2690">
        <v>234</v>
      </c>
      <c r="D46" s="2690">
        <f t="shared" si="20"/>
        <v>234</v>
      </c>
      <c r="E46" s="2690">
        <v>379</v>
      </c>
      <c r="F46" s="2691">
        <v>220</v>
      </c>
      <c r="G46" s="3995">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1867</v>
      </c>
      <c r="B47" s="2641">
        <f>B46/(1+N46)</f>
        <v>275.49301357645425</v>
      </c>
      <c r="C47" s="2641">
        <f>C46/(1+O46)</f>
        <v>232.41954707985698</v>
      </c>
      <c r="D47" s="2641">
        <f t="shared" si="20"/>
        <v>232.41954707985698</v>
      </c>
      <c r="E47" s="2641">
        <f t="shared" ref="E47:F49" si="29">E46/(1+P46)</f>
        <v>375.32184591008121</v>
      </c>
      <c r="F47" s="2641">
        <f t="shared" si="29"/>
        <v>218.03766105054513</v>
      </c>
      <c r="G47" s="3996"/>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1868</v>
      </c>
      <c r="B48" s="2641">
        <f>B47/(1+N47)</f>
        <v>275.24529281292263</v>
      </c>
      <c r="C48" s="2641">
        <f>C47/(1+O47)</f>
        <v>231.74747938962707</v>
      </c>
      <c r="D48" s="2641">
        <f t="shared" si="20"/>
        <v>231.74747938962707</v>
      </c>
      <c r="E48" s="2641">
        <f t="shared" si="29"/>
        <v>375.35938184826603</v>
      </c>
      <c r="F48" s="2641">
        <f t="shared" si="29"/>
        <v>216.78033510692495</v>
      </c>
      <c r="G48" s="3996"/>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1869</v>
      </c>
      <c r="B49" s="2641">
        <f>B48/(1+N48)</f>
        <v>275.19025476197027</v>
      </c>
      <c r="C49" s="2692">
        <v>232</v>
      </c>
      <c r="D49" s="2692">
        <f t="shared" si="20"/>
        <v>232</v>
      </c>
      <c r="E49" s="2641">
        <f t="shared" si="29"/>
        <v>375.65990977608692</v>
      </c>
      <c r="F49" s="2641">
        <f t="shared" si="29"/>
        <v>214.12518283971252</v>
      </c>
      <c r="G49" s="3997"/>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1870</v>
      </c>
      <c r="B50" s="2662">
        <v>275</v>
      </c>
      <c r="C50" s="2662">
        <v>232</v>
      </c>
      <c r="D50" s="2662">
        <f t="shared" si="20"/>
        <v>232</v>
      </c>
      <c r="E50" s="2662">
        <v>376</v>
      </c>
      <c r="F50" s="2663">
        <v>213</v>
      </c>
      <c r="G50" s="3995">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1871</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96">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1872</v>
      </c>
      <c r="B52" s="2641">
        <f t="shared" si="30"/>
        <v>275.19335084830601</v>
      </c>
      <c r="C52" s="2641">
        <f t="shared" si="30"/>
        <v>230.18088050139744</v>
      </c>
      <c r="D52" s="2641">
        <f t="shared" si="20"/>
        <v>230.18088050139744</v>
      </c>
      <c r="E52" s="2641">
        <f t="shared" si="31"/>
        <v>377.58482925212331</v>
      </c>
      <c r="F52" s="2641">
        <f t="shared" si="31"/>
        <v>210.90687997847917</v>
      </c>
      <c r="G52" s="3996">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1873</v>
      </c>
      <c r="B53" s="2641">
        <f t="shared" si="30"/>
        <v>276.29854502841971</v>
      </c>
      <c r="C53" s="2641">
        <f t="shared" si="30"/>
        <v>229.79023709833027</v>
      </c>
      <c r="D53" s="2641">
        <f t="shared" si="20"/>
        <v>229.79023709833027</v>
      </c>
      <c r="E53" s="2641">
        <f t="shared" si="31"/>
        <v>379.78759731655936</v>
      </c>
      <c r="F53" s="2641">
        <f t="shared" si="31"/>
        <v>211.32953905659235</v>
      </c>
      <c r="G53" s="3997">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1874</v>
      </c>
      <c r="B54" s="2662">
        <v>269</v>
      </c>
      <c r="C54" s="2662">
        <v>221</v>
      </c>
      <c r="D54" s="2662">
        <f t="shared" si="20"/>
        <v>221</v>
      </c>
      <c r="E54" s="2662">
        <v>373</v>
      </c>
      <c r="F54" s="2663">
        <v>196</v>
      </c>
      <c r="G54" s="3995">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1875</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96">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1876</v>
      </c>
      <c r="B56" s="2641">
        <f t="shared" si="32"/>
        <v>242.95398227588385</v>
      </c>
      <c r="C56" s="2641">
        <f t="shared" si="32"/>
        <v>199.59137053614126</v>
      </c>
      <c r="D56" s="2641">
        <f t="shared" si="20"/>
        <v>199.59137053614126</v>
      </c>
      <c r="E56" s="2641">
        <f t="shared" si="33"/>
        <v>335.92189522342125</v>
      </c>
      <c r="F56" s="2641">
        <f t="shared" si="33"/>
        <v>183.10139991109489</v>
      </c>
      <c r="G56" s="3996">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1877</v>
      </c>
      <c r="B57" s="2641">
        <f t="shared" si="32"/>
        <v>232.06990378821649</v>
      </c>
      <c r="C57" s="2641">
        <f t="shared" si="32"/>
        <v>192.74878854286936</v>
      </c>
      <c r="D57" s="2641">
        <f t="shared" si="20"/>
        <v>192.74878854286936</v>
      </c>
      <c r="E57" s="2641">
        <f t="shared" si="33"/>
        <v>319.71247284992984</v>
      </c>
      <c r="F57" s="2641">
        <f t="shared" si="33"/>
        <v>175.67053622862409</v>
      </c>
      <c r="G57" s="3997">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1878</v>
      </c>
      <c r="B58" s="2662">
        <v>220</v>
      </c>
      <c r="C58" s="2662">
        <v>187</v>
      </c>
      <c r="D58" s="2662">
        <f t="shared" si="20"/>
        <v>187</v>
      </c>
      <c r="E58" s="2662">
        <v>301</v>
      </c>
      <c r="F58" s="2663">
        <v>168</v>
      </c>
      <c r="G58" s="3995">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1879</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96">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1880</v>
      </c>
      <c r="B60" s="2641">
        <f t="shared" si="34"/>
        <v>210.630522469011</v>
      </c>
      <c r="C60" s="2641">
        <f t="shared" si="34"/>
        <v>181.69567812247232</v>
      </c>
      <c r="D60" s="2641">
        <f t="shared" si="20"/>
        <v>181.69567812247232</v>
      </c>
      <c r="E60" s="2641">
        <f t="shared" si="35"/>
        <v>286.13517466736738</v>
      </c>
      <c r="F60" s="2641">
        <f t="shared" si="35"/>
        <v>165.47535084591149</v>
      </c>
      <c r="G60" s="3996">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1881</v>
      </c>
      <c r="B61" s="2641">
        <f t="shared" si="34"/>
        <v>208.83454537875372</v>
      </c>
      <c r="C61" s="2641">
        <f t="shared" si="34"/>
        <v>183.77230517090351</v>
      </c>
      <c r="D61" s="2641">
        <f t="shared" si="20"/>
        <v>183.77230517090351</v>
      </c>
      <c r="E61" s="2641">
        <f t="shared" si="35"/>
        <v>281.10342338870947</v>
      </c>
      <c r="F61" s="2641">
        <f t="shared" si="35"/>
        <v>168.97309388942256</v>
      </c>
      <c r="G61" s="3997">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1882</v>
      </c>
      <c r="B62" s="2690">
        <v>214</v>
      </c>
      <c r="C62" s="2690">
        <v>188</v>
      </c>
      <c r="D62" s="2690">
        <f t="shared" si="20"/>
        <v>188</v>
      </c>
      <c r="E62" s="2690">
        <v>289</v>
      </c>
      <c r="F62" s="2691">
        <v>166</v>
      </c>
      <c r="G62" s="3995">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1883</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96">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1884</v>
      </c>
      <c r="B64" s="2641">
        <f t="shared" si="36"/>
        <v>206.31694671589116</v>
      </c>
      <c r="C64" s="2641">
        <f t="shared" si="36"/>
        <v>183.61041121036101</v>
      </c>
      <c r="D64" s="2641">
        <f t="shared" si="20"/>
        <v>183.61041121036101</v>
      </c>
      <c r="E64" s="2641">
        <f t="shared" si="37"/>
        <v>276.66850301795557</v>
      </c>
      <c r="F64" s="2641">
        <f t="shared" si="37"/>
        <v>165.1360938278614</v>
      </c>
      <c r="G64" s="3996">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1885</v>
      </c>
      <c r="B65" s="2693">
        <f t="shared" si="36"/>
        <v>196.62341248059772</v>
      </c>
      <c r="C65" s="2693">
        <f t="shared" si="36"/>
        <v>170.99125648199012</v>
      </c>
      <c r="D65" s="2693">
        <f t="shared" si="20"/>
        <v>170.99125648199012</v>
      </c>
      <c r="E65" s="2693">
        <f t="shared" si="37"/>
        <v>266.07857570490052</v>
      </c>
      <c r="F65" s="2693">
        <f t="shared" si="37"/>
        <v>154.53499328828505</v>
      </c>
      <c r="G65" s="3997">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1886</v>
      </c>
      <c r="B66" s="2662">
        <v>188</v>
      </c>
      <c r="C66" s="2662">
        <v>165</v>
      </c>
      <c r="D66" s="2662">
        <f t="shared" si="20"/>
        <v>165</v>
      </c>
      <c r="E66" s="2662">
        <v>254</v>
      </c>
      <c r="F66" s="2663">
        <v>148</v>
      </c>
      <c r="G66" s="3995">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1887</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96">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1888</v>
      </c>
      <c r="B68" s="2641">
        <f t="shared" si="40"/>
        <v>168.82017748715555</v>
      </c>
      <c r="C68" s="2641">
        <f t="shared" si="40"/>
        <v>148.06267029972753</v>
      </c>
      <c r="D68" s="2641">
        <f t="shared" si="20"/>
        <v>148.06267029972753</v>
      </c>
      <c r="E68" s="2641">
        <f t="shared" si="41"/>
        <v>216.46288379323747</v>
      </c>
      <c r="F68" s="2641">
        <f t="shared" si="41"/>
        <v>134.23529411764704</v>
      </c>
      <c r="G68" s="3996">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1889</v>
      </c>
      <c r="B69" s="2641">
        <f t="shared" si="40"/>
        <v>163.84913591779542</v>
      </c>
      <c r="C69" s="2641">
        <f t="shared" si="40"/>
        <v>145.0283378746594</v>
      </c>
      <c r="D69" s="2641">
        <f t="shared" si="20"/>
        <v>145.0283378746594</v>
      </c>
      <c r="E69" s="2641">
        <f t="shared" si="41"/>
        <v>204.95180722891567</v>
      </c>
      <c r="F69" s="2641">
        <f t="shared" si="41"/>
        <v>125.95920303605313</v>
      </c>
      <c r="G69" s="3997">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1890</v>
      </c>
      <c r="B70" s="2669">
        <v>159</v>
      </c>
      <c r="C70" s="2669">
        <v>141</v>
      </c>
      <c r="D70" s="2669">
        <f t="shared" si="20"/>
        <v>141</v>
      </c>
      <c r="E70" s="2669">
        <v>195</v>
      </c>
      <c r="F70" s="2670">
        <v>122</v>
      </c>
      <c r="G70" s="3995">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1891</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96">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1892</v>
      </c>
      <c r="B72" s="2641">
        <f t="shared" si="44"/>
        <v>146.57412060301507</v>
      </c>
      <c r="C72" s="2641">
        <f t="shared" si="44"/>
        <v>136.46831955922866</v>
      </c>
      <c r="D72" s="2641">
        <f t="shared" si="20"/>
        <v>136.46831955922866</v>
      </c>
      <c r="E72" s="2641">
        <f t="shared" si="45"/>
        <v>166.73864894795128</v>
      </c>
      <c r="F72" s="2641">
        <f t="shared" si="45"/>
        <v>115.05882352941177</v>
      </c>
      <c r="G72" s="3996">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1893</v>
      </c>
      <c r="B73" s="2641">
        <f t="shared" si="44"/>
        <v>144.04145728643215</v>
      </c>
      <c r="C73" s="2641">
        <f t="shared" si="44"/>
        <v>136.12396694214877</v>
      </c>
      <c r="D73" s="2641">
        <f t="shared" si="20"/>
        <v>136.12396694214877</v>
      </c>
      <c r="E73" s="2641">
        <f t="shared" si="45"/>
        <v>158.32225913621264</v>
      </c>
      <c r="F73" s="2641">
        <f t="shared" si="45"/>
        <v>114.04278074866311</v>
      </c>
      <c r="G73" s="3997">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1894</v>
      </c>
      <c r="B74" s="2669">
        <v>138</v>
      </c>
      <c r="C74" s="2669">
        <v>131</v>
      </c>
      <c r="D74" s="2669">
        <f t="shared" si="20"/>
        <v>131</v>
      </c>
      <c r="E74" s="2669">
        <v>155</v>
      </c>
      <c r="F74" s="2670">
        <v>114</v>
      </c>
      <c r="G74" s="3995">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1895</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96">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1896</v>
      </c>
      <c r="B76" s="2641">
        <f t="shared" si="48"/>
        <v>124.29032258064517</v>
      </c>
      <c r="C76" s="2641">
        <f t="shared" si="48"/>
        <v>123.8968609865471</v>
      </c>
      <c r="D76" s="2641">
        <f t="shared" si="20"/>
        <v>123.8968609865471</v>
      </c>
      <c r="E76" s="2641">
        <f t="shared" si="49"/>
        <v>138.00507614213197</v>
      </c>
      <c r="F76" s="2641">
        <f t="shared" si="49"/>
        <v>107.96106557377048</v>
      </c>
      <c r="G76" s="3996">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1897</v>
      </c>
      <c r="B77" s="2641">
        <f t="shared" si="48"/>
        <v>122.57204301075269</v>
      </c>
      <c r="C77" s="2641">
        <f t="shared" si="48"/>
        <v>123.4932735426009</v>
      </c>
      <c r="D77" s="2641">
        <f t="shared" si="20"/>
        <v>123.4932735426009</v>
      </c>
      <c r="E77" s="2641">
        <f t="shared" si="49"/>
        <v>129.82233502538071</v>
      </c>
      <c r="F77" s="2641">
        <f t="shared" si="49"/>
        <v>107.39446721311475</v>
      </c>
      <c r="G77" s="3997">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1898</v>
      </c>
      <c r="B78" s="2690">
        <v>121</v>
      </c>
      <c r="C78" s="2690">
        <v>122</v>
      </c>
      <c r="D78" s="2690">
        <f t="shared" si="20"/>
        <v>122</v>
      </c>
      <c r="E78" s="2690">
        <v>124</v>
      </c>
      <c r="F78" s="2691">
        <v>107</v>
      </c>
      <c r="G78" s="3995">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1899</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96">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1900</v>
      </c>
      <c r="B80" s="2641">
        <f t="shared" si="52"/>
        <v>116.99099099099099</v>
      </c>
      <c r="C80" s="2641">
        <f t="shared" si="52"/>
        <v>118.84848484848486</v>
      </c>
      <c r="D80" s="2641">
        <f t="shared" si="20"/>
        <v>118.84848484848486</v>
      </c>
      <c r="E80" s="2641">
        <f t="shared" si="53"/>
        <v>117.60960960960961</v>
      </c>
      <c r="F80" s="2641">
        <f t="shared" si="53"/>
        <v>104</v>
      </c>
      <c r="G80" s="3996">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1901</v>
      </c>
      <c r="B81" s="2693">
        <f t="shared" si="52"/>
        <v>112.48648648648648</v>
      </c>
      <c r="C81" s="2693">
        <f t="shared" si="52"/>
        <v>115.21212121212122</v>
      </c>
      <c r="D81" s="2693">
        <f t="shared" si="20"/>
        <v>115.21212121212122</v>
      </c>
      <c r="E81" s="2693">
        <f t="shared" si="53"/>
        <v>110.4024024024024</v>
      </c>
      <c r="F81" s="2693">
        <f t="shared" si="53"/>
        <v>104</v>
      </c>
      <c r="G81" s="3997">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1902</v>
      </c>
      <c r="B82" s="2710">
        <v>111</v>
      </c>
      <c r="C82" s="2710">
        <v>114</v>
      </c>
      <c r="D82" s="2710">
        <f t="shared" si="20"/>
        <v>114</v>
      </c>
      <c r="E82" s="2710">
        <v>108</v>
      </c>
      <c r="F82" s="2711">
        <v>104</v>
      </c>
      <c r="G82" s="3995">
        <v>2003</v>
      </c>
      <c r="H82" s="2700">
        <v>4</v>
      </c>
      <c r="I82" s="2712"/>
      <c r="J82" s="2712"/>
      <c r="K82" s="2712"/>
      <c r="L82" s="2712"/>
      <c r="N82" s="2713"/>
      <c r="O82" s="2712"/>
      <c r="P82" s="2712"/>
      <c r="Q82" s="2712"/>
      <c r="S82" s="2713"/>
      <c r="T82" s="2712"/>
      <c r="U82" s="2712"/>
      <c r="V82" s="2712"/>
      <c r="X82" s="2704"/>
      <c r="Y82" s="2704"/>
      <c r="Z82" s="2704"/>
    </row>
    <row r="83" spans="1:26">
      <c r="A83" s="2640" t="s">
        <v>1903</v>
      </c>
      <c r="B83" s="2714">
        <f t="shared" ref="B83:C85" si="54">B84+(B$82-B$86)/4</f>
        <v>109.75</v>
      </c>
      <c r="C83" s="2714">
        <f t="shared" si="54"/>
        <v>112.25</v>
      </c>
      <c r="D83" s="2714">
        <f t="shared" si="20"/>
        <v>112.25</v>
      </c>
      <c r="E83" s="2714">
        <f t="shared" ref="E83:F85" si="55">E84+(E$82-E$86)/4</f>
        <v>107.25</v>
      </c>
      <c r="F83" s="2714">
        <f t="shared" si="55"/>
        <v>103.5</v>
      </c>
      <c r="G83" s="3996">
        <v>2003</v>
      </c>
      <c r="H83" s="2667">
        <v>3</v>
      </c>
      <c r="I83" s="2712"/>
      <c r="J83" s="2712"/>
      <c r="K83" s="2712"/>
      <c r="L83" s="2712"/>
      <c r="X83" s="2704"/>
      <c r="Y83" s="2704"/>
      <c r="Z83" s="2704"/>
    </row>
    <row r="84" spans="1:26">
      <c r="A84" s="2640" t="s">
        <v>1904</v>
      </c>
      <c r="B84" s="2714">
        <f t="shared" si="54"/>
        <v>108.5</v>
      </c>
      <c r="C84" s="2714">
        <f t="shared" si="54"/>
        <v>110.5</v>
      </c>
      <c r="D84" s="2714">
        <f t="shared" si="20"/>
        <v>110.5</v>
      </c>
      <c r="E84" s="2714">
        <f t="shared" si="55"/>
        <v>106.5</v>
      </c>
      <c r="F84" s="2714">
        <f t="shared" si="55"/>
        <v>103</v>
      </c>
      <c r="G84" s="3996">
        <v>2003</v>
      </c>
      <c r="H84" s="2655">
        <v>2</v>
      </c>
      <c r="I84" s="2712"/>
      <c r="J84" s="2712"/>
      <c r="K84" s="2712"/>
      <c r="L84" s="2712"/>
      <c r="X84" s="2704"/>
      <c r="Y84" s="2704"/>
      <c r="Z84" s="2704"/>
    </row>
    <row r="85" spans="1:26" ht="13.5" thickBot="1">
      <c r="A85" s="2640" t="s">
        <v>1905</v>
      </c>
      <c r="B85" s="2714">
        <f t="shared" si="54"/>
        <v>107.25</v>
      </c>
      <c r="C85" s="2714">
        <f t="shared" si="54"/>
        <v>108.75</v>
      </c>
      <c r="D85" s="2714">
        <f t="shared" si="20"/>
        <v>108.75</v>
      </c>
      <c r="E85" s="2714">
        <f t="shared" si="55"/>
        <v>105.75</v>
      </c>
      <c r="F85" s="2714">
        <f t="shared" si="55"/>
        <v>102.5</v>
      </c>
      <c r="G85" s="3997">
        <v>2003</v>
      </c>
      <c r="H85" s="2715">
        <v>1</v>
      </c>
      <c r="I85" s="2712"/>
      <c r="J85" s="2712"/>
      <c r="K85" s="2712"/>
      <c r="L85" s="2712"/>
      <c r="S85" s="2643"/>
      <c r="T85" s="2639"/>
      <c r="U85" s="2639"/>
      <c r="X85" s="2704"/>
      <c r="Y85" s="2704"/>
      <c r="Z85" s="2704"/>
    </row>
    <row r="86" spans="1:26" ht="13.5" thickBot="1">
      <c r="A86" s="2640" t="s">
        <v>1906</v>
      </c>
      <c r="B86" s="2716">
        <v>106</v>
      </c>
      <c r="C86" s="2716">
        <v>107</v>
      </c>
      <c r="D86" s="2716">
        <f t="shared" si="20"/>
        <v>107</v>
      </c>
      <c r="E86" s="2716">
        <v>105</v>
      </c>
      <c r="F86" s="2717">
        <v>102</v>
      </c>
      <c r="G86" s="3995">
        <v>2002</v>
      </c>
      <c r="H86" s="2664">
        <v>4</v>
      </c>
      <c r="I86" s="2712"/>
      <c r="J86" s="2712"/>
      <c r="K86" s="2712"/>
      <c r="L86" s="2712"/>
      <c r="N86" s="2713"/>
      <c r="O86" s="2712"/>
      <c r="P86" s="2712"/>
      <c r="Q86" s="2712"/>
      <c r="S86" s="2713"/>
      <c r="T86" s="2712"/>
      <c r="U86" s="2712"/>
      <c r="V86" s="2712"/>
      <c r="X86" s="2704"/>
      <c r="Y86" s="2704"/>
      <c r="Z86" s="2704"/>
    </row>
    <row r="87" spans="1:26">
      <c r="A87" s="2640" t="s">
        <v>1907</v>
      </c>
      <c r="B87" s="2714">
        <f t="shared" ref="B87:C89" si="56">B88+(B$86-B$90)/4</f>
        <v>105</v>
      </c>
      <c r="C87" s="2714">
        <f t="shared" si="56"/>
        <v>106</v>
      </c>
      <c r="D87" s="2714">
        <f t="shared" si="20"/>
        <v>106</v>
      </c>
      <c r="E87" s="2714">
        <f t="shared" ref="E87:F89" si="57">E88+(E$86-E$90)/4</f>
        <v>104.5</v>
      </c>
      <c r="F87" s="2714">
        <f t="shared" si="57"/>
        <v>101.5</v>
      </c>
      <c r="G87" s="3996">
        <v>2002</v>
      </c>
      <c r="H87" s="2667">
        <v>3</v>
      </c>
      <c r="I87" s="2712"/>
      <c r="J87" s="2712"/>
      <c r="K87" s="2712"/>
      <c r="L87" s="2712"/>
      <c r="X87" s="2704"/>
      <c r="Y87" s="2704"/>
      <c r="Z87" s="2704"/>
    </row>
    <row r="88" spans="1:26">
      <c r="A88" s="2640" t="s">
        <v>1908</v>
      </c>
      <c r="B88" s="2714">
        <f t="shared" si="56"/>
        <v>104</v>
      </c>
      <c r="C88" s="2714">
        <f t="shared" si="56"/>
        <v>105</v>
      </c>
      <c r="D88" s="2714">
        <f t="shared" si="20"/>
        <v>105</v>
      </c>
      <c r="E88" s="2714">
        <f t="shared" si="57"/>
        <v>104</v>
      </c>
      <c r="F88" s="2714">
        <f t="shared" si="57"/>
        <v>101</v>
      </c>
      <c r="G88" s="3996">
        <v>2002</v>
      </c>
      <c r="H88" s="2655">
        <v>2</v>
      </c>
      <c r="I88" s="2712"/>
      <c r="J88" s="2712"/>
      <c r="K88" s="2712"/>
      <c r="L88" s="2712"/>
      <c r="X88" s="2704"/>
      <c r="Y88" s="2704"/>
      <c r="Z88" s="2704"/>
    </row>
    <row r="89" spans="1:26" s="2677" customFormat="1" ht="13.5" thickBot="1">
      <c r="A89" s="2673" t="s">
        <v>1909</v>
      </c>
      <c r="B89" s="2680">
        <f t="shared" si="56"/>
        <v>103</v>
      </c>
      <c r="C89" s="2680">
        <f t="shared" si="56"/>
        <v>104</v>
      </c>
      <c r="D89" s="2680">
        <f t="shared" si="20"/>
        <v>104</v>
      </c>
      <c r="E89" s="2680">
        <f t="shared" si="57"/>
        <v>103.5</v>
      </c>
      <c r="F89" s="2680">
        <f t="shared" si="57"/>
        <v>100.5</v>
      </c>
      <c r="G89" s="3997">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1910</v>
      </c>
      <c r="G92" s="2727"/>
      <c r="N92" s="2727"/>
      <c r="S92" s="2727"/>
    </row>
    <row r="93" spans="1:26" s="2726" customFormat="1">
      <c r="A93" s="2726" t="s">
        <v>1911</v>
      </c>
      <c r="G93" s="2727"/>
      <c r="N93" s="2727"/>
      <c r="S93" s="2727"/>
    </row>
    <row r="94" spans="1:26" s="2726" customFormat="1">
      <c r="A94" s="2726" t="s">
        <v>1912</v>
      </c>
      <c r="G94" s="2727"/>
      <c r="I94" s="2728"/>
      <c r="J94" s="2728"/>
      <c r="K94" s="2728"/>
      <c r="L94" s="2728"/>
      <c r="N94" s="2729"/>
      <c r="O94" s="2728"/>
      <c r="P94" s="2728"/>
      <c r="Q94" s="2728"/>
      <c r="S94" s="2729"/>
      <c r="T94" s="2728"/>
      <c r="U94" s="2728"/>
      <c r="V94" s="2728"/>
    </row>
    <row r="95" spans="1:26" s="2726" customFormat="1">
      <c r="A95" s="2726" t="s">
        <v>1913</v>
      </c>
      <c r="G95" s="2727"/>
      <c r="N95" s="2727"/>
      <c r="S95" s="2727"/>
    </row>
    <row r="102" spans="7:22" ht="13.5" thickBot="1"/>
    <row r="103" spans="7:22">
      <c r="G103" s="2638"/>
      <c r="S103" s="2730" t="s">
        <v>1914</v>
      </c>
      <c r="T103" s="2731" t="s">
        <v>1915</v>
      </c>
      <c r="U103" s="2731" t="s">
        <v>1916</v>
      </c>
      <c r="V103" s="2731" t="s">
        <v>1917</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8">
        <f>基准地价!G23</f>
        <v>45034</v>
      </c>
      <c r="B1" s="3346" t="s">
        <v>2785</v>
      </c>
      <c r="C1" s="3347"/>
      <c r="D1" s="3347"/>
      <c r="E1" s="3347"/>
      <c r="F1" s="3347"/>
      <c r="G1" s="3347"/>
      <c r="H1" s="3347"/>
      <c r="I1" s="3347"/>
      <c r="J1" s="3348"/>
      <c r="K1" s="3347" t="s">
        <v>2786</v>
      </c>
      <c r="L1" s="3347"/>
      <c r="M1" s="3347"/>
      <c r="N1" s="3347"/>
      <c r="O1" s="3347"/>
      <c r="P1" s="3347"/>
      <c r="Q1" s="3348"/>
      <c r="R1" s="4003" t="s">
        <v>2795</v>
      </c>
      <c r="S1" s="4004"/>
      <c r="T1" s="4004"/>
      <c r="U1" s="4004"/>
      <c r="V1" s="4004"/>
      <c r="W1" s="4004"/>
      <c r="X1" s="3348"/>
      <c r="Y1" s="4003" t="s">
        <v>2806</v>
      </c>
      <c r="Z1" s="4004"/>
      <c r="AA1" s="4004"/>
      <c r="AB1" s="4004"/>
      <c r="AC1" s="4004"/>
      <c r="AD1" s="4004"/>
    </row>
    <row r="2" spans="1:30" ht="14.25" thickBot="1">
      <c r="A2" s="3339"/>
      <c r="B2" s="3349"/>
      <c r="C2" s="3350"/>
      <c r="D2" s="3351" t="s">
        <v>2788</v>
      </c>
      <c r="E2" s="3352" t="s">
        <v>2789</v>
      </c>
      <c r="F2" s="3352" t="s">
        <v>2790</v>
      </c>
      <c r="G2" s="3352" t="s">
        <v>2791</v>
      </c>
      <c r="H2" s="3352" t="s">
        <v>2792</v>
      </c>
      <c r="I2" s="3352" t="s">
        <v>2732</v>
      </c>
      <c r="J2" s="3353"/>
      <c r="K2" s="3351" t="s">
        <v>2788</v>
      </c>
      <c r="L2" s="3352" t="s">
        <v>2789</v>
      </c>
      <c r="M2" s="3352" t="s">
        <v>2790</v>
      </c>
      <c r="N2" s="3352" t="s">
        <v>2791</v>
      </c>
      <c r="O2" s="3352" t="s">
        <v>2792</v>
      </c>
      <c r="P2" s="3352" t="s">
        <v>2732</v>
      </c>
      <c r="Q2" s="3353"/>
      <c r="R2" s="3351" t="s">
        <v>2796</v>
      </c>
      <c r="S2" s="3352" t="s">
        <v>2797</v>
      </c>
      <c r="T2" s="3352" t="s">
        <v>2798</v>
      </c>
      <c r="U2" s="3352" t="s">
        <v>2799</v>
      </c>
      <c r="V2" s="3352" t="s">
        <v>2800</v>
      </c>
      <c r="W2" s="3352" t="s">
        <v>2801</v>
      </c>
      <c r="X2" s="3353"/>
      <c r="Y2" s="3351" t="s">
        <v>2788</v>
      </c>
      <c r="Z2" s="3352" t="s">
        <v>1470</v>
      </c>
      <c r="AA2" s="3352" t="s">
        <v>2807</v>
      </c>
      <c r="AB2" s="3352" t="s">
        <v>1469</v>
      </c>
      <c r="AC2" s="3352" t="s">
        <v>2792</v>
      </c>
      <c r="AD2" s="3352" t="s">
        <v>2449</v>
      </c>
    </row>
    <row r="3" spans="1:30">
      <c r="A3" s="3340" t="s">
        <v>2775</v>
      </c>
      <c r="B3" s="3354"/>
      <c r="C3" s="3355"/>
      <c r="D3" s="3355">
        <f>ROUND(AVERAGEIF(D4:D16,"&lt;&gt;0"),2)</f>
        <v>0.81</v>
      </c>
      <c r="E3" s="3355">
        <f>ROUND(AVERAGEIF(E4:E16,"&lt;&gt;0"),2)</f>
        <v>0.33</v>
      </c>
      <c r="F3" s="3355">
        <f>ROUND(AVERAGEIF(F4:F16,"&lt;&gt;0"),2)</f>
        <v>0.15</v>
      </c>
      <c r="G3" s="3355">
        <f>ROUND(AVERAGEIF(G4:G16,"&lt;&gt;0"),2)</f>
        <v>0.89</v>
      </c>
      <c r="H3" s="3355">
        <f>ROUND(AVERAGEIF(H4:H16,"&lt;&gt;0"),2)</f>
        <v>0.66</v>
      </c>
      <c r="I3" s="3355">
        <f>F3</f>
        <v>0.15</v>
      </c>
      <c r="J3" s="3356"/>
      <c r="K3" s="3357">
        <f>ROUND(AVERAGEIF(K4:K16,"&lt;&gt;0"),4)</f>
        <v>8.0999999999999996E-3</v>
      </c>
      <c r="L3" s="3358">
        <f>ROUND(AVERAGEIF(L4:L16,"&lt;&gt;0"),4)</f>
        <v>3.3E-3</v>
      </c>
      <c r="M3" s="3358">
        <f>ROUND(AVERAGEIF(M4:M16,"&lt;&gt;0"),4)</f>
        <v>1.5E-3</v>
      </c>
      <c r="N3" s="3358">
        <f>ROUND(AVERAGEIF(N4:N16,"&lt;&gt;0"),4)</f>
        <v>8.8999999999999999E-3</v>
      </c>
      <c r="O3" s="3358">
        <f>ROUND(AVERAGEIF(O4:O16,"&lt;&gt;0"),4)</f>
        <v>6.6E-3</v>
      </c>
      <c r="P3" s="3358">
        <f>M3</f>
        <v>1.5E-3</v>
      </c>
      <c r="Q3" s="3356"/>
      <c r="R3" s="3373">
        <f>ROUND(SUMPRODUCT(PRODUCT(1+K4:K16)),4)</f>
        <v>1.0668</v>
      </c>
      <c r="S3" s="3374">
        <f>ROUND(SUMPRODUCT(PRODUCT(1+L4:L16)),4)</f>
        <v>1.0266999999999999</v>
      </c>
      <c r="T3" s="3374">
        <f>ROUND(SUMPRODUCT(PRODUCT(1+M4:M16)),4)</f>
        <v>1.0119</v>
      </c>
      <c r="U3" s="3374">
        <f>ROUND(SUMPRODUCT(PRODUCT(1+N4:N16)),4)</f>
        <v>1.0734999999999999</v>
      </c>
      <c r="V3" s="3374">
        <f>ROUND(SUMPRODUCT(PRODUCT(1+O4:O16)),4)</f>
        <v>1.054</v>
      </c>
      <c r="W3" s="3373">
        <f>T3</f>
        <v>1.0119</v>
      </c>
      <c r="X3" s="3356"/>
      <c r="Y3" s="3381">
        <f>ROUND(AVERAGEIF(Y5:Y16,"&lt;&gt;0"),4)</f>
        <v>8.6999999999999994E-3</v>
      </c>
      <c r="Z3" s="3382">
        <f>ROUND(AVERAGEIF(Z5:Z16,"&lt;&gt;0"),4)</f>
        <v>3.5000000000000001E-3</v>
      </c>
      <c r="AA3" s="3383">
        <f>ROUND(AVERAGEIF(AA5:AA16,"&lt;&gt;0"),4)</f>
        <v>8.9999999999999998E-4</v>
      </c>
      <c r="AB3" s="3381">
        <f>ROUND(AVERAGEIF(AB5:AB16,"&lt;&gt;0"),4)</f>
        <v>9.4999999999999998E-3</v>
      </c>
      <c r="AC3" s="3384">
        <f>ROUND(AVERAGEIF(AC5:AC16,"&lt;&gt;0"),4)</f>
        <v>6.1000000000000004E-3</v>
      </c>
      <c r="AD3" s="3381">
        <f>AA3</f>
        <v>8.9999999999999998E-4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3248</v>
      </c>
      <c r="B5" s="3401">
        <v>2023</v>
      </c>
      <c r="C5" s="3402">
        <v>4</v>
      </c>
      <c r="D5" s="3402">
        <v>0</v>
      </c>
      <c r="E5" s="3402">
        <v>0</v>
      </c>
      <c r="F5" s="3402">
        <v>0</v>
      </c>
      <c r="G5" s="3402">
        <v>0</v>
      </c>
      <c r="H5" s="3402">
        <v>0</v>
      </c>
      <c r="I5" s="3403">
        <f t="shared" ref="I5:I16" si="0">F5</f>
        <v>0</v>
      </c>
      <c r="J5" s="3363"/>
      <c r="K5" s="3364">
        <f t="shared" ref="K5:O16" si="1">D5/100</f>
        <v>0</v>
      </c>
      <c r="L5" s="3365">
        <f t="shared" si="1"/>
        <v>0</v>
      </c>
      <c r="M5" s="3365">
        <f t="shared" si="1"/>
        <v>0</v>
      </c>
      <c r="N5" s="3365">
        <f t="shared" si="1"/>
        <v>0</v>
      </c>
      <c r="O5" s="3365">
        <f t="shared" si="1"/>
        <v>0</v>
      </c>
      <c r="P5" s="3365">
        <f>M5</f>
        <v>0</v>
      </c>
      <c r="Q5" s="3363"/>
      <c r="R5" s="3379">
        <f>ROUND(IF(项目基本情况!$B$8="出让",SUMPRODUCT(PRODUCT(1+K5:$K$16)),SUMPRODUCT(PRODUCT(1+K5:$K$15))),4)</f>
        <v>1.0565</v>
      </c>
      <c r="S5" s="3379">
        <f>ROUND(IF(项目基本情况!$B$8="出让",SUMPRODUCT(PRODUCT(1+L5:$L$16)),SUMPRODUCT(PRODUCT(1+L5:$L$15))),4)</f>
        <v>1.0250999999999999</v>
      </c>
      <c r="T5" s="3379">
        <f>ROUND(IF(项目基本情况!$B$8="出让",SUMPRODUCT(PRODUCT(1+M5:$M$16)),SUMPRODUCT(PRODUCT(1+M5:$M$15))),4)</f>
        <v>1.0145</v>
      </c>
      <c r="U5" s="3379">
        <f>ROUND(IF(项目基本情况!$B$8="出让",SUMPRODUCT(PRODUCT(1+N5:$N$16)),SUMPRODUCT(PRODUCT(1+N5:$N$15))),4)</f>
        <v>1.0618000000000001</v>
      </c>
      <c r="V5" s="3379">
        <f>ROUND(IF(项目基本情况!$B$8="出让",SUMPRODUCT(PRODUCT(1+O5:$O$16)),SUMPRODUCT(PRODUCT(1+O5:$O$15))),4)</f>
        <v>1.0502</v>
      </c>
      <c r="W5" s="3379">
        <f>T5</f>
        <v>1.0145</v>
      </c>
      <c r="X5" s="3363"/>
      <c r="Y5" s="3388">
        <f>IF(D5=0,0,ROUND(AVERAGE(D5:D16)/100,4))</f>
        <v>0</v>
      </c>
      <c r="Z5" s="3388">
        <f>IF(E5=0,0,ROUND(AVERAGE(E5:E16)/100,4))</f>
        <v>0</v>
      </c>
      <c r="AA5" s="3388">
        <f>IF(F5=0,0,ROUND(AVERAGE(F5:F16)/100,4))</f>
        <v>0</v>
      </c>
      <c r="AB5" s="3388">
        <f>IF(G5=0,0,ROUND(AVERAGE(G5:G16)/100,4))</f>
        <v>0</v>
      </c>
      <c r="AC5" s="3388">
        <f>IF(H5=0,0,ROUND(AVERAGE(H5:H16)/100,4))</f>
        <v>0</v>
      </c>
      <c r="AD5" s="3388">
        <f t="shared" ref="AD5:AD15" si="2">AA5</f>
        <v>0</v>
      </c>
    </row>
    <row r="6" spans="1:30">
      <c r="A6" s="3342" t="s">
        <v>3249</v>
      </c>
      <c r="B6" s="3401">
        <v>2023</v>
      </c>
      <c r="C6" s="3402">
        <v>3</v>
      </c>
      <c r="D6" s="3402">
        <v>0</v>
      </c>
      <c r="E6" s="3402">
        <v>0</v>
      </c>
      <c r="F6" s="3402">
        <v>0</v>
      </c>
      <c r="G6" s="3402">
        <v>0</v>
      </c>
      <c r="H6" s="3402">
        <v>0</v>
      </c>
      <c r="I6" s="3403">
        <f t="shared" si="0"/>
        <v>0</v>
      </c>
      <c r="J6" s="3363"/>
      <c r="K6" s="3364">
        <f t="shared" ref="K6:K8" si="3">D6/100</f>
        <v>0</v>
      </c>
      <c r="L6" s="3365">
        <f t="shared" ref="L6:L8" si="4">E6/100</f>
        <v>0</v>
      </c>
      <c r="M6" s="3365">
        <f t="shared" ref="M6:M8" si="5">F6/100</f>
        <v>0</v>
      </c>
      <c r="N6" s="3365">
        <f t="shared" ref="N6:N8" si="6">G6/100</f>
        <v>0</v>
      </c>
      <c r="O6" s="3365">
        <f t="shared" ref="O6:O8" si="7">H6/100</f>
        <v>0</v>
      </c>
      <c r="P6" s="3365">
        <f t="shared" ref="P6:P8" si="8">M6</f>
        <v>0</v>
      </c>
      <c r="Q6" s="3363"/>
      <c r="R6" s="3379">
        <f>ROUND(IF(项目基本情况!$B$8="出让",SUMPRODUCT(PRODUCT(1+K6:$K$16)),SUMPRODUCT(PRODUCT(1+K6:$K$15))),4)</f>
        <v>1.0565</v>
      </c>
      <c r="S6" s="3379">
        <f>ROUND(IF(项目基本情况!$B$8="出让",SUMPRODUCT(PRODUCT(1+L6:$L$16)),SUMPRODUCT(PRODUCT(1+L6:$L$15))),4)</f>
        <v>1.0250999999999999</v>
      </c>
      <c r="T6" s="3379">
        <f>ROUND(IF(项目基本情况!$B$8="出让",SUMPRODUCT(PRODUCT(1+M6:$M$16)),SUMPRODUCT(PRODUCT(1+M6:$M$15))),4)</f>
        <v>1.0145</v>
      </c>
      <c r="U6" s="3379">
        <f>ROUND(IF(项目基本情况!$B$8="出让",SUMPRODUCT(PRODUCT(1+N6:$N$16)),SUMPRODUCT(PRODUCT(1+N6:$N$15))),4)</f>
        <v>1.0618000000000001</v>
      </c>
      <c r="V6" s="3379">
        <f>ROUND(IF(项目基本情况!$B$8="出让",SUMPRODUCT(PRODUCT(1+O6:$O$16)),SUMPRODUCT(PRODUCT(1+O6:$O$15))),4)</f>
        <v>1.0502</v>
      </c>
      <c r="W6" s="3379">
        <f t="shared" ref="W6:W8" si="9">T6</f>
        <v>1.0145</v>
      </c>
      <c r="X6" s="3363"/>
      <c r="Y6" s="3388">
        <f t="shared" ref="Y6:AC6" si="10">IF(D6=0,0,ROUND(AVERAGE(D6:D17)/100,4))</f>
        <v>0</v>
      </c>
      <c r="Z6" s="3388">
        <f t="shared" si="10"/>
        <v>0</v>
      </c>
      <c r="AA6" s="3388">
        <f t="shared" si="10"/>
        <v>0</v>
      </c>
      <c r="AB6" s="3388">
        <f t="shared" si="10"/>
        <v>0</v>
      </c>
      <c r="AC6" s="3388">
        <f t="shared" si="10"/>
        <v>0</v>
      </c>
      <c r="AD6" s="3388">
        <f t="shared" ref="AD6:AD8" si="11">AA6</f>
        <v>0</v>
      </c>
    </row>
    <row r="7" spans="1:30">
      <c r="A7" s="3342" t="s">
        <v>3247</v>
      </c>
      <c r="B7" s="3401">
        <v>2023</v>
      </c>
      <c r="C7" s="3402">
        <v>2</v>
      </c>
      <c r="D7" s="3402">
        <v>0</v>
      </c>
      <c r="E7" s="3402">
        <v>0</v>
      </c>
      <c r="F7" s="3402">
        <v>0</v>
      </c>
      <c r="G7" s="3402">
        <v>0</v>
      </c>
      <c r="H7" s="3402">
        <v>0</v>
      </c>
      <c r="I7" s="3403">
        <f t="shared" si="0"/>
        <v>0</v>
      </c>
      <c r="J7" s="3363"/>
      <c r="K7" s="3364">
        <f t="shared" si="3"/>
        <v>0</v>
      </c>
      <c r="L7" s="3365">
        <f t="shared" si="4"/>
        <v>0</v>
      </c>
      <c r="M7" s="3365">
        <f t="shared" si="5"/>
        <v>0</v>
      </c>
      <c r="N7" s="3365">
        <f t="shared" si="6"/>
        <v>0</v>
      </c>
      <c r="O7" s="3365">
        <f t="shared" si="7"/>
        <v>0</v>
      </c>
      <c r="P7" s="3365">
        <f t="shared" si="8"/>
        <v>0</v>
      </c>
      <c r="Q7" s="3363"/>
      <c r="R7" s="3379">
        <f>ROUND(IF(项目基本情况!$B$8="出让",SUMPRODUCT(PRODUCT(1+K7:$K$16)),SUMPRODUCT(PRODUCT(1+K7:$K$15))),4)</f>
        <v>1.0565</v>
      </c>
      <c r="S7" s="3379">
        <f>ROUND(IF(项目基本情况!$B$8="出让",SUMPRODUCT(PRODUCT(1+L7:$L$16)),SUMPRODUCT(PRODUCT(1+L7:$L$15))),4)</f>
        <v>1.0250999999999999</v>
      </c>
      <c r="T7" s="3379">
        <f>ROUND(IF(项目基本情况!$B$8="出让",SUMPRODUCT(PRODUCT(1+M7:$M$16)),SUMPRODUCT(PRODUCT(1+M7:$M$15))),4)</f>
        <v>1.0145</v>
      </c>
      <c r="U7" s="3379">
        <f>ROUND(IF(项目基本情况!$B$8="出让",SUMPRODUCT(PRODUCT(1+N7:$N$16)),SUMPRODUCT(PRODUCT(1+N7:$N$15))),4)</f>
        <v>1.0618000000000001</v>
      </c>
      <c r="V7" s="3379">
        <f>ROUND(IF(项目基本情况!$B$8="出让",SUMPRODUCT(PRODUCT(1+O7:$O$16)),SUMPRODUCT(PRODUCT(1+O7:$O$15))),4)</f>
        <v>1.0502</v>
      </c>
      <c r="W7" s="3379">
        <f t="shared" si="9"/>
        <v>1.0145</v>
      </c>
      <c r="X7" s="3363"/>
      <c r="Y7" s="3388">
        <f t="shared" ref="Y7:AC7" si="12">IF(D7=0,0,ROUND(AVERAGE(D7:D18)/100,4))</f>
        <v>0</v>
      </c>
      <c r="Z7" s="3388">
        <f t="shared" si="12"/>
        <v>0</v>
      </c>
      <c r="AA7" s="3388">
        <f t="shared" si="12"/>
        <v>0</v>
      </c>
      <c r="AB7" s="3388">
        <f t="shared" si="12"/>
        <v>0</v>
      </c>
      <c r="AC7" s="3388">
        <f t="shared" si="12"/>
        <v>0</v>
      </c>
      <c r="AD7" s="3388">
        <f t="shared" si="11"/>
        <v>0</v>
      </c>
    </row>
    <row r="8" spans="1:30">
      <c r="A8" s="3342" t="s">
        <v>2776</v>
      </c>
      <c r="B8" s="3401">
        <v>2023</v>
      </c>
      <c r="C8" s="3402">
        <v>1</v>
      </c>
      <c r="D8" s="3402">
        <v>0</v>
      </c>
      <c r="E8" s="3402">
        <v>0</v>
      </c>
      <c r="F8" s="3402">
        <v>0</v>
      </c>
      <c r="G8" s="3402">
        <v>0</v>
      </c>
      <c r="H8" s="3402">
        <v>0</v>
      </c>
      <c r="I8" s="3403">
        <f t="shared" si="0"/>
        <v>0</v>
      </c>
      <c r="J8" s="3363"/>
      <c r="K8" s="3364">
        <f t="shared" si="3"/>
        <v>0</v>
      </c>
      <c r="L8" s="3365">
        <f t="shared" si="4"/>
        <v>0</v>
      </c>
      <c r="M8" s="3365">
        <f t="shared" si="5"/>
        <v>0</v>
      </c>
      <c r="N8" s="3365">
        <f t="shared" si="6"/>
        <v>0</v>
      </c>
      <c r="O8" s="3365">
        <f t="shared" si="7"/>
        <v>0</v>
      </c>
      <c r="P8" s="3365">
        <f t="shared" si="8"/>
        <v>0</v>
      </c>
      <c r="Q8" s="3363"/>
      <c r="R8" s="3379">
        <f>ROUND(IF(项目基本情况!$B$8="出让",SUMPRODUCT(PRODUCT(1+K8:$K$16)),SUMPRODUCT(PRODUCT(1+K8:$K$15))),4)</f>
        <v>1.0565</v>
      </c>
      <c r="S8" s="3379">
        <f>ROUND(IF(项目基本情况!$B$8="出让",SUMPRODUCT(PRODUCT(1+L8:$L$16)),SUMPRODUCT(PRODUCT(1+L8:$L$15))),4)</f>
        <v>1.0250999999999999</v>
      </c>
      <c r="T8" s="3379">
        <f>ROUND(IF(项目基本情况!$B$8="出让",SUMPRODUCT(PRODUCT(1+M8:$M$16)),SUMPRODUCT(PRODUCT(1+M8:$M$15))),4)</f>
        <v>1.0145</v>
      </c>
      <c r="U8" s="3379">
        <f>ROUND(IF(项目基本情况!$B$8="出让",SUMPRODUCT(PRODUCT(1+N8:$N$16)),SUMPRODUCT(PRODUCT(1+N8:$N$15))),4)</f>
        <v>1.0618000000000001</v>
      </c>
      <c r="V8" s="3379">
        <f>ROUND(IF(项目基本情况!$B$8="出让",SUMPRODUCT(PRODUCT(1+O8:$O$16)),SUMPRODUCT(PRODUCT(1+O8:$O$15))),4)</f>
        <v>1.0502</v>
      </c>
      <c r="W8" s="3379">
        <f t="shared" si="9"/>
        <v>1.0145</v>
      </c>
      <c r="X8" s="3363"/>
      <c r="Y8" s="3388">
        <f t="shared" ref="Y8:AC8" si="13">IF(D8=0,0,ROUND(AVERAGE(D8:D19)/100,4))</f>
        <v>0</v>
      </c>
      <c r="Z8" s="3388">
        <f t="shared" si="13"/>
        <v>0</v>
      </c>
      <c r="AA8" s="3388">
        <f t="shared" si="13"/>
        <v>0</v>
      </c>
      <c r="AB8" s="3388">
        <f t="shared" si="13"/>
        <v>0</v>
      </c>
      <c r="AC8" s="3388">
        <f t="shared" si="13"/>
        <v>0</v>
      </c>
      <c r="AD8" s="3388">
        <f t="shared" si="11"/>
        <v>0</v>
      </c>
    </row>
    <row r="9" spans="1:30">
      <c r="A9" s="3343" t="s">
        <v>3245</v>
      </c>
      <c r="B9" s="3404">
        <v>2022</v>
      </c>
      <c r="C9" s="3405">
        <v>4</v>
      </c>
      <c r="D9" s="3405">
        <v>0.62</v>
      </c>
      <c r="E9" s="3405">
        <v>0.2</v>
      </c>
      <c r="F9" s="3405">
        <v>0.11</v>
      </c>
      <c r="G9" s="3405">
        <v>0.69</v>
      </c>
      <c r="H9" s="3406">
        <v>0.53</v>
      </c>
      <c r="I9" s="3407">
        <f t="shared" si="0"/>
        <v>0.11</v>
      </c>
      <c r="J9" s="3366"/>
      <c r="K9" s="3367">
        <f t="shared" si="1"/>
        <v>6.1999999999999998E-3</v>
      </c>
      <c r="L9" s="3368">
        <f t="shared" si="1"/>
        <v>2E-3</v>
      </c>
      <c r="M9" s="3368">
        <f t="shared" si="1"/>
        <v>1.1000000000000001E-3</v>
      </c>
      <c r="N9" s="3368">
        <f t="shared" si="1"/>
        <v>6.8999999999999999E-3</v>
      </c>
      <c r="O9" s="3368">
        <f t="shared" si="1"/>
        <v>5.3E-3</v>
      </c>
      <c r="P9" s="3368">
        <f t="shared" ref="P9:P16" si="14">M9</f>
        <v>1.1000000000000001E-3</v>
      </c>
      <c r="Q9" s="3366"/>
      <c r="R9" s="3366">
        <f>ROUND(IF(项目基本情况!B8="出让",SUMPRODUCT(PRODUCT(1+K9:K16)),SUMPRODUCT(PRODUCT(1+K9:K15))),4)</f>
        <v>1.0565</v>
      </c>
      <c r="S9" s="3366">
        <f>ROUND(IF(项目基本情况!B8="出让",SUMPRODUCT(PRODUCT(1+L9:L16)),SUMPRODUCT(PRODUCT(1+L9:L15))),4)</f>
        <v>1.0250999999999999</v>
      </c>
      <c r="T9" s="3366">
        <f>ROUND(IF(项目基本情况!B8="出让",SUMPRODUCT(PRODUCT(1+M9:M16)),SUMPRODUCT(PRODUCT(1+M9:M15))),4)</f>
        <v>1.0145</v>
      </c>
      <c r="U9" s="3366">
        <f>ROUND(IF(项目基本情况!B8="出让",SUMPRODUCT(PRODUCT(1+N9:N16)),SUMPRODUCT(PRODUCT(1+N9:N15))),4)</f>
        <v>1.0618000000000001</v>
      </c>
      <c r="V9" s="3366">
        <f>ROUND(IF(项目基本情况!B8="出让",SUMPRODUCT(PRODUCT(1+O9:O16)),SUMPRODUCT(PRODUCT(1+O9:O15))),4)</f>
        <v>1.0502</v>
      </c>
      <c r="W9" s="3366">
        <f t="shared" ref="W9:W16" si="15">T9</f>
        <v>1.0145</v>
      </c>
      <c r="X9" s="3366"/>
      <c r="Y9" s="3368">
        <f>IF(D9=0,0,ROUND(AVERAGE(D9:D17)/100,4))</f>
        <v>8.0999999999999996E-3</v>
      </c>
      <c r="Z9" s="3368">
        <f>IF(E9=0,0,ROUND(AVERAGE(E9:E16)/100,4))</f>
        <v>3.3E-3</v>
      </c>
      <c r="AA9" s="3368">
        <f>IF(F9=0,0,ROUND(AVERAGE(F9:F16)/100,4))</f>
        <v>1.5E-3</v>
      </c>
      <c r="AB9" s="3368">
        <f>IF(G9=0,0,ROUND(AVERAGE(G9:G16)/100,4))</f>
        <v>8.8999999999999999E-3</v>
      </c>
      <c r="AC9" s="3368">
        <f>IF(H9=0,0,ROUND(AVERAGE(H9:H16)/100,4))</f>
        <v>6.6E-3</v>
      </c>
      <c r="AD9" s="3368">
        <f t="shared" si="2"/>
        <v>1.5E-3</v>
      </c>
    </row>
    <row r="10" spans="1:30">
      <c r="A10" s="3342" t="s">
        <v>3243</v>
      </c>
      <c r="B10" s="3401">
        <v>2022</v>
      </c>
      <c r="C10" s="3402">
        <v>3</v>
      </c>
      <c r="D10" s="3402">
        <v>0.66</v>
      </c>
      <c r="E10" s="3402">
        <v>0.32</v>
      </c>
      <c r="F10" s="3402">
        <v>0.23</v>
      </c>
      <c r="G10" s="3402">
        <v>0.72</v>
      </c>
      <c r="H10" s="3408">
        <v>0.63</v>
      </c>
      <c r="I10" s="3403">
        <f t="shared" si="0"/>
        <v>0.23</v>
      </c>
      <c r="J10" s="3363"/>
      <c r="K10" s="3364">
        <f t="shared" si="1"/>
        <v>6.6E-3</v>
      </c>
      <c r="L10" s="3365">
        <f t="shared" si="1"/>
        <v>3.2000000000000002E-3</v>
      </c>
      <c r="M10" s="3365">
        <f t="shared" si="1"/>
        <v>2.3E-3</v>
      </c>
      <c r="N10" s="3365">
        <f t="shared" si="1"/>
        <v>7.1999999999999998E-3</v>
      </c>
      <c r="O10" s="3365">
        <f t="shared" si="1"/>
        <v>6.3E-3</v>
      </c>
      <c r="P10" s="3365">
        <f t="shared" si="14"/>
        <v>2.3E-3</v>
      </c>
      <c r="Q10" s="3363"/>
      <c r="R10" s="3379">
        <f>ROUND(IF(项目基本情况!B8="出让",SUMPRODUCT(PRODUCT(1+K10:K16)),SUMPRODUCT(PRODUCT(1+K10:K15))),4)</f>
        <v>1.05</v>
      </c>
      <c r="S10" s="3379">
        <f>ROUND(IF(项目基本情况!B8="出让",SUMPRODUCT(PRODUCT(1+L10:L16)),SUMPRODUCT(PRODUCT(1+L10:L15))),4)</f>
        <v>1.0229999999999999</v>
      </c>
      <c r="T10" s="3379">
        <f>ROUND(IF(项目基本情况!B8="出让",SUMPRODUCT(PRODUCT(1+M10:M16)),SUMPRODUCT(PRODUCT(1+M10:M15))),4)</f>
        <v>1.0134000000000001</v>
      </c>
      <c r="U10" s="3379">
        <f>ROUND(IF(项目基本情况!B8="出让",SUMPRODUCT(PRODUCT(1+N10:N16)),SUMPRODUCT(PRODUCT(1+N10:N15))),4)</f>
        <v>1.0545</v>
      </c>
      <c r="V10" s="3379">
        <f>ROUND(IF(项目基本情况!B8="出让",SUMPRODUCT(PRODUCT(1+O10:O16)),SUMPRODUCT(PRODUCT(1+O10:O15))),4)</f>
        <v>1.0447</v>
      </c>
      <c r="W10" s="3379">
        <f t="shared" si="15"/>
        <v>1.0134000000000001</v>
      </c>
      <c r="X10" s="3363"/>
      <c r="Y10" s="3388">
        <f>IF(D10=0,0,ROUND(AVERAGE(D10:D16)/100,4))</f>
        <v>8.3999999999999995E-3</v>
      </c>
      <c r="Z10" s="3388">
        <f>IF(E10=0,0,ROUND(AVERAGE(E10:E16)/100,4))</f>
        <v>3.5000000000000001E-3</v>
      </c>
      <c r="AA10" s="3388">
        <f>IF(F10=0,0,ROUND(AVERAGE(F10:F16)/100,4))</f>
        <v>1.5E-3</v>
      </c>
      <c r="AB10" s="3388">
        <f>IF(G10=0,0,ROUND(AVERAGE(G10:G16)/100,4))</f>
        <v>9.1999999999999998E-3</v>
      </c>
      <c r="AC10" s="3388">
        <f>IF(H10=0,0,ROUND(AVERAGE(H10:H16)/100,4))</f>
        <v>6.7999999999999996E-3</v>
      </c>
      <c r="AD10" s="3388">
        <f t="shared" si="2"/>
        <v>1.5E-3</v>
      </c>
    </row>
    <row r="11" spans="1:30">
      <c r="A11" s="3342" t="s">
        <v>3244</v>
      </c>
      <c r="B11" s="3401">
        <v>2022</v>
      </c>
      <c r="C11" s="3402">
        <v>2</v>
      </c>
      <c r="D11" s="3402">
        <v>0.93</v>
      </c>
      <c r="E11" s="3402">
        <v>0.15</v>
      </c>
      <c r="F11" s="3402">
        <v>0.01</v>
      </c>
      <c r="G11" s="3402">
        <v>1.05</v>
      </c>
      <c r="H11" s="3408">
        <v>1.08</v>
      </c>
      <c r="I11" s="3403">
        <f t="shared" si="0"/>
        <v>0.01</v>
      </c>
      <c r="J11" s="3363"/>
      <c r="K11" s="3364">
        <f t="shared" si="1"/>
        <v>9.300000000000001E-3</v>
      </c>
      <c r="L11" s="3365">
        <f t="shared" si="1"/>
        <v>1.5E-3</v>
      </c>
      <c r="M11" s="3365">
        <f t="shared" si="1"/>
        <v>1E-4</v>
      </c>
      <c r="N11" s="3365">
        <f t="shared" si="1"/>
        <v>1.0500000000000001E-2</v>
      </c>
      <c r="O11" s="3365">
        <f t="shared" si="1"/>
        <v>1.0800000000000001E-2</v>
      </c>
      <c r="P11" s="3365">
        <f t="shared" si="14"/>
        <v>1E-4</v>
      </c>
      <c r="Q11" s="3363"/>
      <c r="R11" s="3379">
        <f>ROUND(IF(项目基本情况!B8="出让",SUMPRODUCT(PRODUCT(1+K11:K16)),SUMPRODUCT(PRODUCT(1+K11:K15))),4)</f>
        <v>1.0430999999999999</v>
      </c>
      <c r="S11" s="3379">
        <f>ROUND(IF(项目基本情况!B8="出让",SUMPRODUCT(PRODUCT(1+L11:L16)),SUMPRODUCT(PRODUCT(1+L11:L15))),4)</f>
        <v>1.0197000000000001</v>
      </c>
      <c r="T11" s="3379">
        <f>ROUND(IF(项目基本情况!B8="出让",SUMPRODUCT(PRODUCT(1+M11:M16)),SUMPRODUCT(PRODUCT(1+M11:M15))),4)</f>
        <v>1.0109999999999999</v>
      </c>
      <c r="U11" s="3379">
        <f>ROUND(IF(项目基本情况!B8="出让",SUMPRODUCT(PRODUCT(1+N11:N16)),SUMPRODUCT(PRODUCT(1+N11:N15))),4)</f>
        <v>1.0468999999999999</v>
      </c>
      <c r="V11" s="3379">
        <f>ROUND(IF(项目基本情况!B8="出让",SUMPRODUCT(PRODUCT(1+O11:O16)),SUMPRODUCT(PRODUCT(1+O11:O15))),4)</f>
        <v>1.0382</v>
      </c>
      <c r="W11" s="3379">
        <f t="shared" si="15"/>
        <v>1.0109999999999999</v>
      </c>
      <c r="X11" s="3363"/>
      <c r="Y11" s="3388">
        <f>IF(D11=0,0,ROUND(AVERAGE(D11:D16)/100,4))</f>
        <v>8.6999999999999994E-3</v>
      </c>
      <c r="Z11" s="3388">
        <f>IF(E11=0,0,ROUND(AVERAGE(E11:E16)/100,4))</f>
        <v>3.5000000000000001E-3</v>
      </c>
      <c r="AA11" s="3388">
        <f>IF(F11=0,0,ROUND(AVERAGE(F11:F16)/100,4))</f>
        <v>1.4E-3</v>
      </c>
      <c r="AB11" s="3388">
        <f>IF(G11=0,0,ROUND(AVERAGE(G11:G16)/100,4))</f>
        <v>9.4999999999999998E-3</v>
      </c>
      <c r="AC11" s="3388">
        <f>IF(H11=0,0,ROUND(AVERAGE(H11:H16)/100,4))</f>
        <v>6.8999999999999999E-3</v>
      </c>
      <c r="AD11" s="3388">
        <f t="shared" si="2"/>
        <v>1.4E-3</v>
      </c>
    </row>
    <row r="12" spans="1:30">
      <c r="A12" s="3342" t="s">
        <v>2777</v>
      </c>
      <c r="B12" s="3401">
        <v>2022</v>
      </c>
      <c r="C12" s="3402">
        <v>1</v>
      </c>
      <c r="D12" s="3402">
        <v>0.89</v>
      </c>
      <c r="E12" s="3402">
        <v>0.44</v>
      </c>
      <c r="F12" s="3402">
        <v>0.37</v>
      </c>
      <c r="G12" s="3402">
        <v>0.96</v>
      </c>
      <c r="H12" s="3408">
        <v>0.64</v>
      </c>
      <c r="I12" s="3403">
        <f t="shared" si="0"/>
        <v>0.37</v>
      </c>
      <c r="J12" s="3363"/>
      <c r="K12" s="3364">
        <f t="shared" si="1"/>
        <v>8.8999999999999999E-3</v>
      </c>
      <c r="L12" s="3365">
        <f t="shared" si="1"/>
        <v>4.4000000000000003E-3</v>
      </c>
      <c r="M12" s="3365">
        <f t="shared" si="1"/>
        <v>3.7000000000000002E-3</v>
      </c>
      <c r="N12" s="3365">
        <f t="shared" si="1"/>
        <v>9.5999999999999992E-3</v>
      </c>
      <c r="O12" s="3365">
        <f t="shared" si="1"/>
        <v>6.4000000000000003E-3</v>
      </c>
      <c r="P12" s="3365">
        <f t="shared" si="14"/>
        <v>3.7000000000000002E-3</v>
      </c>
      <c r="Q12" s="3363"/>
      <c r="R12" s="3379">
        <f>ROUND(IF(项目基本情况!B8="出让",SUMPRODUCT(PRODUCT(1+K12:K16)),SUMPRODUCT(PRODUCT(1+K12:K15))),4)</f>
        <v>1.0335000000000001</v>
      </c>
      <c r="S12" s="3379">
        <f>ROUND(IF(项目基本情况!B8="出让",SUMPRODUCT(PRODUCT(1+L12:L16)),SUMPRODUCT(PRODUCT(1+L12:L15))),4)</f>
        <v>1.0182</v>
      </c>
      <c r="T12" s="3379">
        <f>ROUND(IF(项目基本情况!B8="出让",SUMPRODUCT(PRODUCT(1+M12:M16)),SUMPRODUCT(PRODUCT(1+M12:M15))),4)</f>
        <v>1.0108999999999999</v>
      </c>
      <c r="U12" s="3379">
        <f>ROUND(IF(项目基本情况!B8="出让",SUMPRODUCT(PRODUCT(1+N12:N16)),SUMPRODUCT(PRODUCT(1+N12:N15))),4)</f>
        <v>1.0361</v>
      </c>
      <c r="V12" s="3379">
        <f>ROUND(IF(项目基本情况!B8="出让",SUMPRODUCT(PRODUCT(1+O12:O16)),SUMPRODUCT(PRODUCT(1+O12:O15))),4)</f>
        <v>1.0270999999999999</v>
      </c>
      <c r="W12" s="3379">
        <f t="shared" si="15"/>
        <v>1.0108999999999999</v>
      </c>
      <c r="X12" s="3363"/>
      <c r="Y12" s="3388">
        <f>IF(D12=0,0,ROUND(AVERAGE(D12:D16)/100,4))</f>
        <v>8.6E-3</v>
      </c>
      <c r="Z12" s="3388">
        <f>IF(E12=0,0,ROUND(AVERAGE(E12:E16)/100,4))</f>
        <v>3.8999999999999998E-3</v>
      </c>
      <c r="AA12" s="3388">
        <f>IF(F12=0,0,ROUND(AVERAGE(F12:F16)/100,4))</f>
        <v>1.6999999999999999E-3</v>
      </c>
      <c r="AB12" s="3388">
        <f>IF(G12=0,0,ROUND(AVERAGE(G12:G16)/100,4))</f>
        <v>9.2999999999999992E-3</v>
      </c>
      <c r="AC12" s="3388">
        <f>IF(H12=0,0,ROUND(AVERAGE(H12:H16)/100,4))</f>
        <v>6.1000000000000004E-3</v>
      </c>
      <c r="AD12" s="3388">
        <f t="shared" si="2"/>
        <v>1.6999999999999999E-3</v>
      </c>
    </row>
    <row r="13" spans="1:30">
      <c r="A13" s="3342" t="s">
        <v>2778</v>
      </c>
      <c r="B13" s="3401">
        <v>2021</v>
      </c>
      <c r="C13" s="3402">
        <v>4</v>
      </c>
      <c r="D13" s="3402">
        <v>1.03</v>
      </c>
      <c r="E13" s="3402">
        <v>0.24</v>
      </c>
      <c r="F13" s="3402">
        <v>7.0000000000000007E-2</v>
      </c>
      <c r="G13" s="3402">
        <v>1.17</v>
      </c>
      <c r="H13" s="3408">
        <v>0.55000000000000004</v>
      </c>
      <c r="I13" s="3403">
        <f t="shared" si="0"/>
        <v>7.0000000000000007E-2</v>
      </c>
      <c r="J13" s="3363"/>
      <c r="K13" s="3364">
        <f t="shared" si="1"/>
        <v>1.03E-2</v>
      </c>
      <c r="L13" s="3365">
        <f t="shared" si="1"/>
        <v>2.3999999999999998E-3</v>
      </c>
      <c r="M13" s="3365">
        <f t="shared" si="1"/>
        <v>7.000000000000001E-4</v>
      </c>
      <c r="N13" s="3365">
        <f t="shared" si="1"/>
        <v>1.1699999999999999E-2</v>
      </c>
      <c r="O13" s="3365">
        <f t="shared" si="1"/>
        <v>5.5000000000000005E-3</v>
      </c>
      <c r="P13" s="3365">
        <f t="shared" si="14"/>
        <v>7.000000000000001E-4</v>
      </c>
      <c r="Q13" s="3363"/>
      <c r="R13" s="3379">
        <f>ROUND(IF(项目基本情况!B8="出让",SUMPRODUCT(PRODUCT(1+K13:K16)),SUMPRODUCT(PRODUCT(1+K13:K15))),4)</f>
        <v>1.0244</v>
      </c>
      <c r="S13" s="3379">
        <f>ROUND(IF(项目基本情况!B8="出让",SUMPRODUCT(PRODUCT(1+L13:L16)),SUMPRODUCT(PRODUCT(1+L13:L15))),4)</f>
        <v>1.0138</v>
      </c>
      <c r="T13" s="3379">
        <f>ROUND(IF(项目基本情况!B8="出让",SUMPRODUCT(PRODUCT(1+M13:M16)),SUMPRODUCT(PRODUCT(1+M13:M15))),4)</f>
        <v>1.0072000000000001</v>
      </c>
      <c r="U13" s="3379">
        <f>ROUND(IF(项目基本情况!B8="出让",SUMPRODUCT(PRODUCT(1+N13:N16)),SUMPRODUCT(PRODUCT(1+N13:N15))),4)</f>
        <v>1.0262</v>
      </c>
      <c r="V13" s="3379">
        <f>ROUND(IF(项目基本情况!B8="出让",SUMPRODUCT(PRODUCT(1+O13:O16)),SUMPRODUCT(PRODUCT(1+O13:O15))),4)</f>
        <v>1.0205</v>
      </c>
      <c r="W13" s="3379">
        <f t="shared" si="15"/>
        <v>1.0072000000000001</v>
      </c>
      <c r="X13" s="3363"/>
      <c r="Y13" s="3388">
        <f>IF(D13=0,0,ROUND(AVERAGE(D13:D16)/100,4))</f>
        <v>8.5000000000000006E-3</v>
      </c>
      <c r="Z13" s="3388">
        <f>IF(E13=0,0,ROUND(AVERAGE(E13:E16)/100,4))</f>
        <v>3.8E-3</v>
      </c>
      <c r="AA13" s="3388">
        <f>IF(F13=0,0,ROUND(AVERAGE(F13:F16)/100,4))</f>
        <v>1.1999999999999999E-3</v>
      </c>
      <c r="AB13" s="3388">
        <f>IF(G13=0,0,ROUND(AVERAGE(G13:G16)/100,4))</f>
        <v>9.2999999999999992E-3</v>
      </c>
      <c r="AC13" s="3388">
        <f>IF(H13=0,0,ROUND(AVERAGE(H13:H16)/100,4))</f>
        <v>6.0000000000000001E-3</v>
      </c>
      <c r="AD13" s="3388">
        <f t="shared" si="2"/>
        <v>1.1999999999999999E-3</v>
      </c>
    </row>
    <row r="14" spans="1:30">
      <c r="A14" s="3342" t="s">
        <v>2779</v>
      </c>
      <c r="B14" s="3401">
        <v>2021</v>
      </c>
      <c r="C14" s="3402">
        <v>3</v>
      </c>
      <c r="D14" s="3402">
        <v>0.47</v>
      </c>
      <c r="E14" s="3402">
        <v>0.41</v>
      </c>
      <c r="F14" s="3402">
        <v>0.24</v>
      </c>
      <c r="G14" s="3402">
        <v>0.48</v>
      </c>
      <c r="H14" s="3408">
        <v>0.48</v>
      </c>
      <c r="I14" s="3403">
        <f t="shared" si="0"/>
        <v>0.24</v>
      </c>
      <c r="J14" s="3363"/>
      <c r="K14" s="3364">
        <f t="shared" si="1"/>
        <v>4.6999999999999993E-3</v>
      </c>
      <c r="L14" s="3365">
        <f t="shared" si="1"/>
        <v>4.0999999999999995E-3</v>
      </c>
      <c r="M14" s="3365">
        <f t="shared" si="1"/>
        <v>2.3999999999999998E-3</v>
      </c>
      <c r="N14" s="3365">
        <f t="shared" si="1"/>
        <v>4.7999999999999996E-3</v>
      </c>
      <c r="O14" s="3365">
        <f t="shared" si="1"/>
        <v>4.7999999999999996E-3</v>
      </c>
      <c r="P14" s="3365">
        <f t="shared" si="14"/>
        <v>2.3999999999999998E-3</v>
      </c>
      <c r="Q14" s="3363"/>
      <c r="R14" s="3379">
        <f>ROUND(IF(项目基本情况!B8="出让",SUMPRODUCT(PRODUCT(1+K14:K16)),SUMPRODUCT(PRODUCT(1+K14:K15))),4)</f>
        <v>1.0139</v>
      </c>
      <c r="S14" s="3379">
        <f>ROUND(IF(项目基本情况!B8="出让",SUMPRODUCT(PRODUCT(1+L14:L16)),SUMPRODUCT(PRODUCT(1+L14:L15))),4)</f>
        <v>1.0113000000000001</v>
      </c>
      <c r="T14" s="3379">
        <f>ROUND(IF(项目基本情况!B8="出让",SUMPRODUCT(PRODUCT(1+M14:M16)),SUMPRODUCT(PRODUCT(1+M14:M15))),4)</f>
        <v>1.0065</v>
      </c>
      <c r="U14" s="3379">
        <f>ROUND(IF(项目基本情况!B8="出让",SUMPRODUCT(PRODUCT(1+N14:N16)),SUMPRODUCT(PRODUCT(1+N14:N15))),4)</f>
        <v>1.0143</v>
      </c>
      <c r="V14" s="3379">
        <f>ROUND(IF(项目基本情况!B8="出让",SUMPRODUCT(PRODUCT(1+O14:O16)),SUMPRODUCT(PRODUCT(1+O14:O15))),4)</f>
        <v>1.0148999999999999</v>
      </c>
      <c r="W14" s="3379">
        <f t="shared" si="15"/>
        <v>1.0065</v>
      </c>
      <c r="X14" s="3363"/>
      <c r="Y14" s="3388">
        <f>IF(D14=0,0,ROUND(AVERAGE(D14:D16)/100,4))</f>
        <v>7.9000000000000008E-3</v>
      </c>
      <c r="Z14" s="3388">
        <f>IF(E14=0,0,ROUND(AVERAGE(E14:E16)/100,4))</f>
        <v>4.3E-3</v>
      </c>
      <c r="AA14" s="3388">
        <f>IF(F14=0,0,ROUND(AVERAGE(F14:F16)/100,4))</f>
        <v>1.2999999999999999E-3</v>
      </c>
      <c r="AB14" s="3388">
        <f>IF(G14=0,0,ROUND(AVERAGE(G14:G16)/100,4))</f>
        <v>8.5000000000000006E-3</v>
      </c>
      <c r="AC14" s="3388">
        <f>IF(H14=0,0,ROUND(AVERAGE(H14:H16)/100,4))</f>
        <v>6.1999999999999998E-3</v>
      </c>
      <c r="AD14" s="3388">
        <f t="shared" si="2"/>
        <v>1.2999999999999999E-3</v>
      </c>
    </row>
    <row r="15" spans="1:30">
      <c r="A15" s="3342" t="s">
        <v>2780</v>
      </c>
      <c r="B15" s="3401">
        <v>2021</v>
      </c>
      <c r="C15" s="3402">
        <v>2</v>
      </c>
      <c r="D15" s="3402">
        <v>0.92</v>
      </c>
      <c r="E15" s="3402">
        <v>0.72</v>
      </c>
      <c r="F15" s="3402">
        <v>0.41</v>
      </c>
      <c r="G15" s="3402">
        <v>0.95</v>
      </c>
      <c r="H15" s="3408">
        <v>1.01</v>
      </c>
      <c r="I15" s="3403">
        <f t="shared" si="0"/>
        <v>0.41</v>
      </c>
      <c r="J15" s="3363"/>
      <c r="K15" s="3364">
        <f t="shared" si="1"/>
        <v>9.1999999999999998E-3</v>
      </c>
      <c r="L15" s="3365">
        <f t="shared" si="1"/>
        <v>7.1999999999999998E-3</v>
      </c>
      <c r="M15" s="3365">
        <f t="shared" si="1"/>
        <v>4.0999999999999995E-3</v>
      </c>
      <c r="N15" s="3365">
        <f t="shared" si="1"/>
        <v>9.4999999999999998E-3</v>
      </c>
      <c r="O15" s="3365">
        <f t="shared" si="1"/>
        <v>1.01E-2</v>
      </c>
      <c r="P15" s="3365">
        <f t="shared" si="14"/>
        <v>4.0999999999999995E-3</v>
      </c>
      <c r="Q15" s="3363"/>
      <c r="R15" s="3379">
        <f>ROUND(IF(项目基本情况!B8="出让",SUMPRODUCT(PRODUCT(1+K15:K16)),SUMPRODUCT(PRODUCT(1+K15:K15))),4)</f>
        <v>1.0092000000000001</v>
      </c>
      <c r="S15" s="3379">
        <f>ROUND(IF(项目基本情况!B8="出让",SUMPRODUCT(PRODUCT(1+L15:L16)),SUMPRODUCT(PRODUCT(1+L15:L15))),4)</f>
        <v>1.0072000000000001</v>
      </c>
      <c r="T15" s="3379">
        <f>ROUND(IF(项目基本情况!B8="出让",SUMPRODUCT(PRODUCT(1+M15:M16)),SUMPRODUCT(PRODUCT(1+M15:M15))),4)</f>
        <v>1.0041</v>
      </c>
      <c r="U15" s="3379">
        <f>ROUND(IF(项目基本情况!B8="出让",SUMPRODUCT(PRODUCT(1+N15:N16)),SUMPRODUCT(PRODUCT(1+N15:N15))),4)</f>
        <v>1.0095000000000001</v>
      </c>
      <c r="V15" s="3379">
        <f>ROUND(IF(项目基本情况!B8="出让",SUMPRODUCT(PRODUCT(1+O15:O16)),SUMPRODUCT(PRODUCT(1+O15:O15))),4)</f>
        <v>1.0101</v>
      </c>
      <c r="W15" s="3379">
        <f t="shared" si="15"/>
        <v>1.0041</v>
      </c>
      <c r="X15" s="3363"/>
      <c r="Y15" s="3388">
        <f>IF(D15=0,0,ROUND(AVERAGE(D15:D16)/100,4))</f>
        <v>9.4999999999999998E-3</v>
      </c>
      <c r="Z15" s="3388">
        <f>IF(E15=0,0,ROUND(AVERAGE(E15:E16)/100,4))</f>
        <v>4.4000000000000003E-3</v>
      </c>
      <c r="AA15" s="3388">
        <f>IF(F15=0,0,ROUND(AVERAGE(F15:F16)/100,4))</f>
        <v>8.0000000000000004E-4</v>
      </c>
      <c r="AB15" s="3388">
        <f>IF(G15=0,0,ROUND(AVERAGE(G15:G16)/100,4))</f>
        <v>1.03E-2</v>
      </c>
      <c r="AC15" s="3388">
        <f>IF(H15=0,0,ROUND(AVERAGE(H15:H16)/100,4))</f>
        <v>6.8999999999999999E-3</v>
      </c>
      <c r="AD15" s="3388">
        <f t="shared" si="2"/>
        <v>8.0000000000000004E-4</v>
      </c>
    </row>
    <row r="16" spans="1:30" ht="14.25" thickBot="1">
      <c r="A16" s="3344" t="s">
        <v>2781</v>
      </c>
      <c r="B16" s="3409">
        <v>2021</v>
      </c>
      <c r="C16" s="3410">
        <v>1</v>
      </c>
      <c r="D16" s="3410">
        <v>0.97</v>
      </c>
      <c r="E16" s="3410">
        <v>0.16</v>
      </c>
      <c r="F16" s="3410">
        <v>-0.25</v>
      </c>
      <c r="G16" s="3410">
        <v>1.1100000000000001</v>
      </c>
      <c r="H16" s="3411">
        <v>0.36</v>
      </c>
      <c r="I16" s="3412">
        <f t="shared" si="0"/>
        <v>-0.25</v>
      </c>
      <c r="J16" s="3369"/>
      <c r="K16" s="3370">
        <f t="shared" si="1"/>
        <v>9.7000000000000003E-3</v>
      </c>
      <c r="L16" s="3371">
        <f t="shared" si="1"/>
        <v>1.6000000000000001E-3</v>
      </c>
      <c r="M16" s="3371">
        <f>F16/100</f>
        <v>-2.5000000000000001E-3</v>
      </c>
      <c r="N16" s="3371">
        <f t="shared" si="1"/>
        <v>1.11E-2</v>
      </c>
      <c r="O16" s="3371">
        <f t="shared" si="1"/>
        <v>3.5999999999999999E-3</v>
      </c>
      <c r="P16" s="3371">
        <f t="shared" si="14"/>
        <v>-2.5000000000000001E-3</v>
      </c>
      <c r="Q16" s="3369"/>
      <c r="R16" s="3380">
        <v>1</v>
      </c>
      <c r="S16" s="3380">
        <v>1</v>
      </c>
      <c r="T16" s="3380">
        <v>1</v>
      </c>
      <c r="U16" s="3380">
        <v>1</v>
      </c>
      <c r="V16" s="3380">
        <v>1</v>
      </c>
      <c r="W16" s="3380">
        <f t="shared" si="15"/>
        <v>1</v>
      </c>
      <c r="X16" s="3369"/>
      <c r="Y16" s="3371">
        <f>IF(D16=0,0,ROUND(AVERAGE(D16:D16)/100,4))</f>
        <v>9.7000000000000003E-3</v>
      </c>
      <c r="Z16" s="3371">
        <f>IF(E16=0,0,ROUND(AVERAGE(E16:E16)/100,4))</f>
        <v>1.6000000000000001E-3</v>
      </c>
      <c r="AA16" s="3371">
        <f>IF(F16=0,0,ROUND(AVERAGE(F16:F16)/100,4))</f>
        <v>-2.5000000000000001E-3</v>
      </c>
      <c r="AB16" s="3371">
        <f>IF(G16=0,0,ROUND(AVERAGE(G16:G16)/100,4))</f>
        <v>1.11E-2</v>
      </c>
      <c r="AC16" s="3371">
        <f>IF(H16=0,0,ROUND(AVERAGE(H16:H16)/100,4))</f>
        <v>3.5999999999999999E-3</v>
      </c>
      <c r="AD16" s="3371">
        <f>AA16</f>
        <v>-2.5000000000000001E-3</v>
      </c>
    </row>
    <row r="17" spans="1:30" ht="14.25" thickTop="1">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660" t="s">
        <v>3250</v>
      </c>
      <c r="B18" s="3279"/>
      <c r="C18" s="3279"/>
      <c r="D18" s="3279"/>
      <c r="E18" s="3279"/>
      <c r="F18" s="3279"/>
      <c r="G18" s="3279"/>
      <c r="H18" s="3279"/>
      <c r="I18" s="3279"/>
      <c r="J18" s="3279"/>
      <c r="K18" s="3279"/>
      <c r="L18" s="3279"/>
      <c r="M18" s="3279"/>
      <c r="N18" s="3279"/>
      <c r="O18" s="3279"/>
      <c r="P18" s="3279"/>
      <c r="Q18" s="3279"/>
      <c r="R18" s="3279"/>
      <c r="S18" s="3279"/>
      <c r="T18" s="3279"/>
      <c r="U18" s="3279"/>
      <c r="V18" s="3279"/>
      <c r="W18" s="3279"/>
      <c r="X18" s="3279"/>
      <c r="Y18" s="3279"/>
      <c r="Z18" s="3279"/>
      <c r="AA18" s="3279"/>
      <c r="AB18" s="3279"/>
      <c r="AC18" s="3279"/>
      <c r="AD18" s="3279"/>
    </row>
    <row r="19" spans="1:30">
      <c r="A19" s="3279"/>
      <c r="B19" s="3279"/>
      <c r="C19" s="3279"/>
      <c r="D19" s="3279"/>
      <c r="E19" s="3279"/>
      <c r="F19" s="3279"/>
      <c r="G19" s="3279"/>
      <c r="H19" s="3279"/>
      <c r="I19" s="3372" t="s">
        <v>2793</v>
      </c>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279"/>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345"/>
      <c r="B21" s="3346" t="s">
        <v>2794</v>
      </c>
      <c r="C21" s="3347"/>
      <c r="D21" s="3347"/>
      <c r="E21" s="3347"/>
      <c r="F21" s="3347"/>
      <c r="G21" s="3347"/>
      <c r="H21" s="3347"/>
      <c r="I21" s="3347"/>
      <c r="J21" s="3348"/>
      <c r="K21" s="3347" t="s">
        <v>2786</v>
      </c>
      <c r="L21" s="3347"/>
      <c r="M21" s="3347"/>
      <c r="N21" s="3347"/>
      <c r="O21" s="3347"/>
      <c r="P21" s="3347"/>
      <c r="Q21" s="3348"/>
      <c r="R21" s="4003" t="s">
        <v>2802</v>
      </c>
      <c r="S21" s="4004"/>
      <c r="T21" s="4004"/>
      <c r="U21" s="4004"/>
      <c r="V21" s="4004"/>
      <c r="W21" s="4004"/>
      <c r="X21" s="3348"/>
      <c r="Y21" s="4003" t="s">
        <v>1922</v>
      </c>
      <c r="Z21" s="4004"/>
      <c r="AA21" s="4004"/>
      <c r="AB21" s="4004"/>
      <c r="AC21" s="4004"/>
      <c r="AD21" s="4004"/>
    </row>
    <row r="22" spans="1:30" ht="14.25" thickBot="1">
      <c r="A22" s="3339"/>
      <c r="B22" s="3349"/>
      <c r="C22" s="3350"/>
      <c r="D22" s="3351" t="s">
        <v>2788</v>
      </c>
      <c r="E22" s="3352" t="s">
        <v>2789</v>
      </c>
      <c r="F22" s="3352" t="s">
        <v>2790</v>
      </c>
      <c r="G22" s="3352" t="s">
        <v>1469</v>
      </c>
      <c r="H22" s="3352"/>
      <c r="I22" s="3352" t="s">
        <v>2732</v>
      </c>
      <c r="J22" s="3353"/>
      <c r="K22" s="3351" t="s">
        <v>2788</v>
      </c>
      <c r="L22" s="3352" t="s">
        <v>2789</v>
      </c>
      <c r="M22" s="3352" t="s">
        <v>2790</v>
      </c>
      <c r="N22" s="3352" t="s">
        <v>2791</v>
      </c>
      <c r="O22" s="3352"/>
      <c r="P22" s="3352" t="s">
        <v>2732</v>
      </c>
      <c r="Q22" s="3353"/>
      <c r="R22" s="3351" t="s">
        <v>2803</v>
      </c>
      <c r="S22" s="3352" t="s">
        <v>2804</v>
      </c>
      <c r="T22" s="3352" t="s">
        <v>2790</v>
      </c>
      <c r="U22" s="3352" t="s">
        <v>1469</v>
      </c>
      <c r="V22" s="3352"/>
      <c r="W22" s="3352" t="s">
        <v>2805</v>
      </c>
      <c r="X22" s="3353"/>
      <c r="Y22" s="3351" t="s">
        <v>2787</v>
      </c>
      <c r="Z22" s="3352" t="s">
        <v>2789</v>
      </c>
      <c r="AA22" s="3352" t="s">
        <v>2790</v>
      </c>
      <c r="AB22" s="3352" t="s">
        <v>1469</v>
      </c>
      <c r="AC22" s="3352"/>
      <c r="AD22" s="3352" t="s">
        <v>2808</v>
      </c>
    </row>
    <row r="23" spans="1:30">
      <c r="A23" s="3340" t="s">
        <v>2782</v>
      </c>
      <c r="B23" s="3354"/>
      <c r="C23" s="3355"/>
      <c r="D23" s="3355"/>
      <c r="E23" s="3355">
        <f>ROUND(AVERAGEIF(E24:E36,"&lt;&gt;0"),2)</f>
        <v>0.4</v>
      </c>
      <c r="F23" s="3355">
        <f>ROUND(AVERAGEIF(F24:F36,"&lt;&gt;0"),2)</f>
        <v>0.26</v>
      </c>
      <c r="G23" s="3355">
        <f>ROUND(AVERAGEIF(G24:G36,"&lt;&gt;0"),2)</f>
        <v>0.74</v>
      </c>
      <c r="H23" s="3355"/>
      <c r="I23" s="3355">
        <f>F23</f>
        <v>0.26</v>
      </c>
      <c r="J23" s="3356"/>
      <c r="K23" s="3357"/>
      <c r="L23" s="3358">
        <f>ROUND(AVERAGEIF(L24:L36,"&lt;&gt;0"),4)</f>
        <v>4.0000000000000001E-3</v>
      </c>
      <c r="M23" s="3358">
        <f>ROUND(AVERAGEIF(M24:M36,"&lt;&gt;0"),4)</f>
        <v>2.5999999999999999E-3</v>
      </c>
      <c r="N23" s="3358">
        <f>ROUND(AVERAGEIF(N24:N36,"&lt;&gt;0"),4)</f>
        <v>7.4000000000000003E-3</v>
      </c>
      <c r="O23" s="3358"/>
      <c r="P23" s="3358">
        <f>M23</f>
        <v>2.5999999999999999E-3</v>
      </c>
      <c r="Q23" s="3356"/>
      <c r="R23" s="3373"/>
      <c r="S23" s="3374">
        <f>ROUND(SUMPRODUCT(PRODUCT(1+L24:L36)),4)</f>
        <v>1.0323</v>
      </c>
      <c r="T23" s="3374">
        <f>ROUND(SUMPRODUCT(PRODUCT(1+M24:M36)),4)</f>
        <v>1.0213000000000001</v>
      </c>
      <c r="U23" s="3374">
        <f>ROUND(SUMPRODUCT(PRODUCT(1+N24:N36)),4)</f>
        <v>1.0609</v>
      </c>
      <c r="V23" s="3374"/>
      <c r="W23" s="3373">
        <f>T23</f>
        <v>1.0213000000000001</v>
      </c>
      <c r="X23" s="3356"/>
      <c r="Y23" s="3381"/>
      <c r="Z23" s="3382">
        <f>ROUND(AVERAGEIF(Z24:Z36,"&lt;&gt;0"),4)</f>
        <v>4.3E-3</v>
      </c>
      <c r="AA23" s="3383">
        <f>ROUND(AVERAGEIF(AA24:AA36,"&lt;&gt;0"),4)</f>
        <v>3.5999999999999999E-3</v>
      </c>
      <c r="AB23" s="3381">
        <f>ROUND(AVERAGEIF(AB24:AB36,"&lt;&gt;0"),4)</f>
        <v>8.8999999999999999E-3</v>
      </c>
      <c r="AC23" s="3384"/>
      <c r="AD23" s="3381">
        <f>AA23</f>
        <v>3.5999999999999999E-3</v>
      </c>
    </row>
    <row r="24" spans="1:30">
      <c r="A24" s="3341"/>
      <c r="B24" s="3359"/>
      <c r="C24" s="3360"/>
      <c r="D24" s="3360"/>
      <c r="E24" s="3360"/>
      <c r="F24" s="3360"/>
      <c r="G24" s="3360"/>
      <c r="H24" s="3360"/>
      <c r="I24" s="3360"/>
      <c r="J24" s="3348"/>
      <c r="K24" s="3361"/>
      <c r="L24" s="3362"/>
      <c r="M24" s="3362"/>
      <c r="N24" s="3362"/>
      <c r="O24" s="3362"/>
      <c r="P24" s="3362"/>
      <c r="Q24" s="3348"/>
      <c r="R24" s="3375"/>
      <c r="S24" s="3376"/>
      <c r="T24" s="3377"/>
      <c r="U24" s="3375"/>
      <c r="V24" s="3378"/>
      <c r="W24" s="3375"/>
      <c r="X24" s="3348"/>
      <c r="Y24" s="3365"/>
      <c r="Z24" s="3385"/>
      <c r="AA24" s="3386"/>
      <c r="AB24" s="3365"/>
      <c r="AC24" s="3387"/>
      <c r="AD24" s="3365"/>
    </row>
    <row r="25" spans="1:30">
      <c r="A25" s="3342" t="s">
        <v>3248</v>
      </c>
      <c r="B25" s="3401">
        <v>2023</v>
      </c>
      <c r="C25" s="3402">
        <v>4</v>
      </c>
      <c r="D25" s="3402"/>
      <c r="E25" s="3402">
        <v>0</v>
      </c>
      <c r="F25" s="3402">
        <v>0</v>
      </c>
      <c r="G25" s="3402">
        <v>0</v>
      </c>
      <c r="H25" s="3402"/>
      <c r="I25" s="3403">
        <f t="shared" ref="I25:I36" si="16">F25</f>
        <v>0</v>
      </c>
      <c r="J25" s="3363"/>
      <c r="K25" s="3364"/>
      <c r="L25" s="3365">
        <f t="shared" ref="L25:N36" si="17">E25/100</f>
        <v>0</v>
      </c>
      <c r="M25" s="3365">
        <f t="shared" si="17"/>
        <v>0</v>
      </c>
      <c r="N25" s="3365">
        <f t="shared" si="17"/>
        <v>0</v>
      </c>
      <c r="O25" s="3365"/>
      <c r="P25" s="3365">
        <f>M25</f>
        <v>0</v>
      </c>
      <c r="Q25" s="3363"/>
      <c r="R25" s="3379"/>
      <c r="S25" s="3379">
        <f>ROUND(IF(项目基本情况!$B$8="出让",SUMPRODUCT(PRODUCT(1+L25:L$36)),SUMPRODUCT(PRODUCT(1+L25:L$35))),4)</f>
        <v>1.0286999999999999</v>
      </c>
      <c r="T25" s="3379">
        <f>ROUND(IF(项目基本情况!$B$8="出让",SUMPRODUCT(PRODUCT(1+M25:M$36)),SUMPRODUCT(PRODUCT(1+M25:M$35))),4)</f>
        <v>1.0164</v>
      </c>
      <c r="U25" s="3379">
        <f>ROUND(IF(项目基本情况!$B$8="出让",SUMPRODUCT(PRODUCT(1+N25:N$36)),SUMPRODUCT(PRODUCT(1+N25:N$35))),4)</f>
        <v>1.0506</v>
      </c>
      <c r="V25" s="3379"/>
      <c r="W25" s="3379">
        <f>T25</f>
        <v>1.0164</v>
      </c>
      <c r="X25" s="3363"/>
      <c r="Y25" s="3388"/>
      <c r="Z25" s="3389">
        <f>IF(E25=0,0,ROUND(AVERAGE(E25:E36)/100,4))</f>
        <v>0</v>
      </c>
      <c r="AA25" s="3389">
        <f>IF(F25=0,0,ROUND(AVERAGE(F25:F36)/100,4))</f>
        <v>0</v>
      </c>
      <c r="AB25" s="3389">
        <f>IF(G25=0,0,ROUND(AVERAGE(G25:G36)/100,4))</f>
        <v>0</v>
      </c>
      <c r="AC25" s="3390"/>
      <c r="AD25" s="3388">
        <f>IF(I25=0,0,ROUND(AVERAGE(I25:I36)/100,4))</f>
        <v>0</v>
      </c>
    </row>
    <row r="26" spans="1:30">
      <c r="A26" s="3342" t="s">
        <v>3249</v>
      </c>
      <c r="B26" s="3401">
        <v>2023</v>
      </c>
      <c r="C26" s="3402">
        <v>3</v>
      </c>
      <c r="D26" s="3402"/>
      <c r="E26" s="3402">
        <v>0</v>
      </c>
      <c r="F26" s="3402">
        <v>0</v>
      </c>
      <c r="G26" s="3402">
        <v>0</v>
      </c>
      <c r="H26" s="3408"/>
      <c r="I26" s="3403">
        <f t="shared" si="16"/>
        <v>0</v>
      </c>
      <c r="J26" s="3363"/>
      <c r="K26" s="3364"/>
      <c r="L26" s="3365">
        <f t="shared" ref="L26:L28" si="18">E26/100</f>
        <v>0</v>
      </c>
      <c r="M26" s="3365">
        <f t="shared" ref="M26:M28" si="19">F26/100</f>
        <v>0</v>
      </c>
      <c r="N26" s="3365">
        <f t="shared" ref="N26:N28" si="20">G26/100</f>
        <v>0</v>
      </c>
      <c r="O26" s="3365"/>
      <c r="P26" s="3365">
        <f t="shared" ref="P26:P28" si="21">M26</f>
        <v>0</v>
      </c>
      <c r="Q26" s="3363"/>
      <c r="R26" s="3379"/>
      <c r="S26" s="3379">
        <f>ROUND(IF(项目基本情况!$B$8="出让",SUMPRODUCT(PRODUCT(1+L26:L$36)),SUMPRODUCT(PRODUCT(1+L26:L$35))),4)</f>
        <v>1.0286999999999999</v>
      </c>
      <c r="T26" s="3379">
        <f>ROUND(IF(项目基本情况!$B$8="出让",SUMPRODUCT(PRODUCT(1+M26:M$36)),SUMPRODUCT(PRODUCT(1+M26:M$35))),4)</f>
        <v>1.0164</v>
      </c>
      <c r="U26" s="3379">
        <f>ROUND(IF(项目基本情况!$B$8="出让",SUMPRODUCT(PRODUCT(1+N26:N$36)),SUMPRODUCT(PRODUCT(1+N26:N$35))),4)</f>
        <v>1.0506</v>
      </c>
      <c r="V26" s="3379"/>
      <c r="W26" s="3379">
        <f t="shared" ref="W26:W28" si="22">T26</f>
        <v>1.0164</v>
      </c>
      <c r="X26" s="3363"/>
      <c r="Y26" s="3388"/>
      <c r="Z26" s="3389">
        <f t="shared" ref="Z26:AB26" si="23">IF(E26=0,0,ROUND(AVERAGE(E26:E37)/100,4))</f>
        <v>0</v>
      </c>
      <c r="AA26" s="3389">
        <f t="shared" si="23"/>
        <v>0</v>
      </c>
      <c r="AB26" s="3389">
        <f t="shared" si="23"/>
        <v>0</v>
      </c>
      <c r="AC26" s="3390"/>
      <c r="AD26" s="3388">
        <f t="shared" ref="AD26:AD28" si="24">IF(I26=0,0,ROUND(AVERAGE(I26:I37)/100,4))</f>
        <v>0</v>
      </c>
    </row>
    <row r="27" spans="1:30">
      <c r="A27" s="3342" t="s">
        <v>3247</v>
      </c>
      <c r="B27" s="3401">
        <v>2023</v>
      </c>
      <c r="C27" s="3402">
        <v>2</v>
      </c>
      <c r="D27" s="3402"/>
      <c r="E27" s="3402">
        <v>0</v>
      </c>
      <c r="F27" s="3402">
        <v>0</v>
      </c>
      <c r="G27" s="3402">
        <v>0</v>
      </c>
      <c r="H27" s="3408"/>
      <c r="I27" s="3403">
        <f t="shared" si="16"/>
        <v>0</v>
      </c>
      <c r="J27" s="3363"/>
      <c r="K27" s="3364"/>
      <c r="L27" s="3365">
        <f t="shared" si="18"/>
        <v>0</v>
      </c>
      <c r="M27" s="3365">
        <f t="shared" si="19"/>
        <v>0</v>
      </c>
      <c r="N27" s="3365">
        <f t="shared" si="20"/>
        <v>0</v>
      </c>
      <c r="O27" s="3365"/>
      <c r="P27" s="3365">
        <f t="shared" si="21"/>
        <v>0</v>
      </c>
      <c r="Q27" s="3363"/>
      <c r="R27" s="3379"/>
      <c r="S27" s="3379">
        <f>ROUND(IF(项目基本情况!$B$8="出让",SUMPRODUCT(PRODUCT(1+L27:L$36)),SUMPRODUCT(PRODUCT(1+L27:L$35))),4)</f>
        <v>1.0286999999999999</v>
      </c>
      <c r="T27" s="3379">
        <f>ROUND(IF(项目基本情况!$B$8="出让",SUMPRODUCT(PRODUCT(1+M27:M$36)),SUMPRODUCT(PRODUCT(1+M27:M$35))),4)</f>
        <v>1.0164</v>
      </c>
      <c r="U27" s="3379">
        <f>ROUND(IF(项目基本情况!$B$8="出让",SUMPRODUCT(PRODUCT(1+N27:N$36)),SUMPRODUCT(PRODUCT(1+N27:N$35))),4)</f>
        <v>1.0506</v>
      </c>
      <c r="V27" s="3379"/>
      <c r="W27" s="3379">
        <f t="shared" si="22"/>
        <v>1.0164</v>
      </c>
      <c r="X27" s="3363"/>
      <c r="Y27" s="3388"/>
      <c r="Z27" s="3389">
        <f t="shared" ref="Z27:AB27" si="25">IF(E27=0,0,ROUND(AVERAGE(E27:E38)/100,4))</f>
        <v>0</v>
      </c>
      <c r="AA27" s="3389">
        <f t="shared" si="25"/>
        <v>0</v>
      </c>
      <c r="AB27" s="3389">
        <f t="shared" si="25"/>
        <v>0</v>
      </c>
      <c r="AC27" s="3390"/>
      <c r="AD27" s="3388">
        <f t="shared" si="24"/>
        <v>0</v>
      </c>
    </row>
    <row r="28" spans="1:30">
      <c r="A28" s="3342" t="s">
        <v>2776</v>
      </c>
      <c r="B28" s="3401">
        <v>2023</v>
      </c>
      <c r="C28" s="3402">
        <v>1</v>
      </c>
      <c r="D28" s="3402"/>
      <c r="E28" s="3402">
        <v>0</v>
      </c>
      <c r="F28" s="3402">
        <v>0</v>
      </c>
      <c r="G28" s="3402">
        <v>0</v>
      </c>
      <c r="H28" s="3408"/>
      <c r="I28" s="3403">
        <f t="shared" si="16"/>
        <v>0</v>
      </c>
      <c r="J28" s="3363"/>
      <c r="K28" s="3364"/>
      <c r="L28" s="3365">
        <f t="shared" si="18"/>
        <v>0</v>
      </c>
      <c r="M28" s="3365">
        <f t="shared" si="19"/>
        <v>0</v>
      </c>
      <c r="N28" s="3365">
        <f t="shared" si="20"/>
        <v>0</v>
      </c>
      <c r="O28" s="3365"/>
      <c r="P28" s="3365">
        <f t="shared" si="21"/>
        <v>0</v>
      </c>
      <c r="Q28" s="3363"/>
      <c r="R28" s="3379"/>
      <c r="S28" s="3379">
        <f>ROUND(IF(项目基本情况!$B$8="出让",SUMPRODUCT(PRODUCT(1+L28:L$36)),SUMPRODUCT(PRODUCT(1+L28:L$35))),4)</f>
        <v>1.0286999999999999</v>
      </c>
      <c r="T28" s="3379">
        <f>ROUND(IF(项目基本情况!$B$8="出让",SUMPRODUCT(PRODUCT(1+M28:M$36)),SUMPRODUCT(PRODUCT(1+M28:M$35))),4)</f>
        <v>1.0164</v>
      </c>
      <c r="U28" s="3379">
        <f>ROUND(IF(项目基本情况!$B$8="出让",SUMPRODUCT(PRODUCT(1+N28:N$36)),SUMPRODUCT(PRODUCT(1+N28:N$35))),4)</f>
        <v>1.0506</v>
      </c>
      <c r="V28" s="3379"/>
      <c r="W28" s="3379">
        <f t="shared" si="22"/>
        <v>1.0164</v>
      </c>
      <c r="X28" s="3363"/>
      <c r="Y28" s="3388"/>
      <c r="Z28" s="3389">
        <f t="shared" ref="Z28:AB28" si="26">IF(E28=0,0,ROUND(AVERAGE(E28:E39)/100,4))</f>
        <v>0</v>
      </c>
      <c r="AA28" s="3389">
        <f t="shared" si="26"/>
        <v>0</v>
      </c>
      <c r="AB28" s="3389">
        <f t="shared" si="26"/>
        <v>0</v>
      </c>
      <c r="AC28" s="3390"/>
      <c r="AD28" s="3388">
        <f t="shared" si="24"/>
        <v>0</v>
      </c>
    </row>
    <row r="29" spans="1:30">
      <c r="A29" s="3343" t="s">
        <v>3245</v>
      </c>
      <c r="B29" s="3404">
        <v>2022</v>
      </c>
      <c r="C29" s="3405">
        <v>4</v>
      </c>
      <c r="D29" s="3405"/>
      <c r="E29" s="3405">
        <v>0.45</v>
      </c>
      <c r="F29" s="3405">
        <v>0.2</v>
      </c>
      <c r="G29" s="3405">
        <v>0.38</v>
      </c>
      <c r="H29" s="3406"/>
      <c r="I29" s="3407">
        <f t="shared" si="16"/>
        <v>0.2</v>
      </c>
      <c r="J29" s="3366"/>
      <c r="K29" s="3367"/>
      <c r="L29" s="3368">
        <f t="shared" si="17"/>
        <v>4.5000000000000005E-3</v>
      </c>
      <c r="M29" s="3368">
        <f t="shared" si="17"/>
        <v>2E-3</v>
      </c>
      <c r="N29" s="3368">
        <f t="shared" si="17"/>
        <v>3.8E-3</v>
      </c>
      <c r="O29" s="3368"/>
      <c r="P29" s="3368">
        <f t="shared" ref="P29:P36" si="27">M29</f>
        <v>2E-3</v>
      </c>
      <c r="Q29" s="3366"/>
      <c r="R29" s="3366"/>
      <c r="S29" s="3366">
        <f>ROUND(IF(项目基本情况!$B$8="出让",SUMPRODUCT(PRODUCT(1+L29:L$36)),SUMPRODUCT(PRODUCT(1+L29:L$35))),4)</f>
        <v>1.0286999999999999</v>
      </c>
      <c r="T29" s="3366">
        <f>ROUND(IF(项目基本情况!$B$8="出让",SUMPRODUCT(PRODUCT(1+M29:M$36)),SUMPRODUCT(PRODUCT(1+M29:M$35))),4)</f>
        <v>1.0164</v>
      </c>
      <c r="U29" s="3366">
        <f>ROUND(IF(项目基本情况!$B$8="出让",SUMPRODUCT(PRODUCT(1+N29:N$36)),SUMPRODUCT(PRODUCT(1+N29:N$35))),4)</f>
        <v>1.0506</v>
      </c>
      <c r="V29" s="3366"/>
      <c r="W29" s="3366">
        <f t="shared" ref="W29:W36" si="28">T29</f>
        <v>1.0164</v>
      </c>
      <c r="X29" s="3366"/>
      <c r="Y29" s="3368"/>
      <c r="Z29" s="3392">
        <f t="shared" ref="Z29:AD36" si="29">IF(E29=0,0,ROUND(AVERAGE(E29:E37)/100,4))</f>
        <v>4.0000000000000001E-3</v>
      </c>
      <c r="AA29" s="3393">
        <f t="shared" si="29"/>
        <v>2.5999999999999999E-3</v>
      </c>
      <c r="AB29" s="3368">
        <f t="shared" si="29"/>
        <v>7.4000000000000003E-3</v>
      </c>
      <c r="AC29" s="3394"/>
      <c r="AD29" s="3368">
        <f t="shared" si="29"/>
        <v>2.5999999999999999E-3</v>
      </c>
    </row>
    <row r="30" spans="1:30">
      <c r="A30" s="3342" t="s">
        <v>3246</v>
      </c>
      <c r="B30" s="3401">
        <v>2022</v>
      </c>
      <c r="C30" s="3402">
        <v>3</v>
      </c>
      <c r="D30" s="3402"/>
      <c r="E30" s="3402">
        <v>0.3</v>
      </c>
      <c r="F30" s="3402">
        <v>0.28999999999999998</v>
      </c>
      <c r="G30" s="3402">
        <v>0.83</v>
      </c>
      <c r="H30" s="3408"/>
      <c r="I30" s="3403">
        <f t="shared" si="16"/>
        <v>0.28999999999999998</v>
      </c>
      <c r="J30" s="3363"/>
      <c r="K30" s="3364"/>
      <c r="L30" s="3365">
        <f t="shared" si="17"/>
        <v>3.0000000000000001E-3</v>
      </c>
      <c r="M30" s="3365">
        <f t="shared" si="17"/>
        <v>2.8999999999999998E-3</v>
      </c>
      <c r="N30" s="3365">
        <f t="shared" si="17"/>
        <v>8.3000000000000001E-3</v>
      </c>
      <c r="O30" s="3365"/>
      <c r="P30" s="3365">
        <f t="shared" si="27"/>
        <v>2.8999999999999998E-3</v>
      </c>
      <c r="Q30" s="3363"/>
      <c r="R30" s="3379"/>
      <c r="S30" s="3379">
        <f>ROUND(IF(项目基本情况!$B$8="出让",SUMPRODUCT(PRODUCT(1+L30:L$36)),SUMPRODUCT(PRODUCT(1+L30:L$35))),4)</f>
        <v>1.0241</v>
      </c>
      <c r="T30" s="3379">
        <f>ROUND(IF(项目基本情况!$B$8="出让",SUMPRODUCT(PRODUCT(1+M30:M$36)),SUMPRODUCT(PRODUCT(1+M30:M$35))),4)</f>
        <v>1.0144</v>
      </c>
      <c r="U30" s="3379">
        <f>ROUND(IF(项目基本情况!$B$8="出让",SUMPRODUCT(PRODUCT(1+N30:N$36)),SUMPRODUCT(PRODUCT(1+N30:N$35))),4)</f>
        <v>1.0467</v>
      </c>
      <c r="V30" s="3379"/>
      <c r="W30" s="3379">
        <f t="shared" si="28"/>
        <v>1.0144</v>
      </c>
      <c r="X30" s="3363"/>
      <c r="Y30" s="3388"/>
      <c r="Z30" s="3389">
        <f t="shared" si="29"/>
        <v>3.8999999999999998E-3</v>
      </c>
      <c r="AA30" s="3391">
        <f t="shared" si="29"/>
        <v>2.7000000000000001E-3</v>
      </c>
      <c r="AB30" s="3388">
        <f t="shared" si="29"/>
        <v>7.9000000000000008E-3</v>
      </c>
      <c r="AC30" s="3390"/>
      <c r="AD30" s="3388">
        <f t="shared" si="29"/>
        <v>2.7000000000000001E-3</v>
      </c>
    </row>
    <row r="31" spans="1:30">
      <c r="A31" s="3342" t="s">
        <v>3244</v>
      </c>
      <c r="B31" s="3401">
        <v>2022</v>
      </c>
      <c r="C31" s="3402">
        <v>2</v>
      </c>
      <c r="D31" s="3402"/>
      <c r="E31" s="3402">
        <v>-0.11</v>
      </c>
      <c r="F31" s="3402">
        <v>-0.13</v>
      </c>
      <c r="G31" s="3402">
        <v>0.53</v>
      </c>
      <c r="H31" s="3408"/>
      <c r="I31" s="3403">
        <f t="shared" si="16"/>
        <v>-0.13</v>
      </c>
      <c r="J31" s="3363"/>
      <c r="K31" s="3364"/>
      <c r="L31" s="3365">
        <f t="shared" si="17"/>
        <v>-1.1000000000000001E-3</v>
      </c>
      <c r="M31" s="3365">
        <f t="shared" si="17"/>
        <v>-1.2999999999999999E-3</v>
      </c>
      <c r="N31" s="3365">
        <f t="shared" si="17"/>
        <v>5.3E-3</v>
      </c>
      <c r="O31" s="3365"/>
      <c r="P31" s="3365">
        <f t="shared" si="27"/>
        <v>-1.2999999999999999E-3</v>
      </c>
      <c r="Q31" s="3363"/>
      <c r="R31" s="3379"/>
      <c r="S31" s="3379">
        <f>ROUND(IF(项目基本情况!$B$8="出让",SUMPRODUCT(PRODUCT(1+L31:L$36)),SUMPRODUCT(PRODUCT(1+L31:L$35))),4)</f>
        <v>1.0210999999999999</v>
      </c>
      <c r="T31" s="3379">
        <f>ROUND(IF(项目基本情况!$B$8="出让",SUMPRODUCT(PRODUCT(1+M31:M$36)),SUMPRODUCT(PRODUCT(1+M31:M$35))),4)</f>
        <v>1.0114000000000001</v>
      </c>
      <c r="U31" s="3379">
        <f>ROUND(IF(项目基本情况!$B$8="出让",SUMPRODUCT(PRODUCT(1+N31:N$36)),SUMPRODUCT(PRODUCT(1+N31:N$35))),4)</f>
        <v>1.0381</v>
      </c>
      <c r="V31" s="3379"/>
      <c r="W31" s="3379">
        <f t="shared" si="28"/>
        <v>1.0114000000000001</v>
      </c>
      <c r="X31" s="3363"/>
      <c r="Y31" s="3388"/>
      <c r="Z31" s="3389">
        <f t="shared" si="29"/>
        <v>4.1000000000000003E-3</v>
      </c>
      <c r="AA31" s="3391">
        <f t="shared" si="29"/>
        <v>2.7000000000000001E-3</v>
      </c>
      <c r="AB31" s="3388">
        <f t="shared" si="29"/>
        <v>7.9000000000000008E-3</v>
      </c>
      <c r="AC31" s="3390"/>
      <c r="AD31" s="3388">
        <f t="shared" si="29"/>
        <v>2.7000000000000001E-3</v>
      </c>
    </row>
    <row r="32" spans="1:30">
      <c r="A32" s="3342" t="s">
        <v>2777</v>
      </c>
      <c r="B32" s="3401">
        <v>2022</v>
      </c>
      <c r="C32" s="3402">
        <v>1</v>
      </c>
      <c r="D32" s="3402"/>
      <c r="E32" s="3402">
        <v>0.6</v>
      </c>
      <c r="F32" s="3402">
        <v>0.45</v>
      </c>
      <c r="G32" s="3402">
        <v>0.53</v>
      </c>
      <c r="H32" s="3408"/>
      <c r="I32" s="3403">
        <f t="shared" si="16"/>
        <v>0.45</v>
      </c>
      <c r="J32" s="3363"/>
      <c r="K32" s="3364"/>
      <c r="L32" s="3365">
        <f t="shared" si="17"/>
        <v>6.0000000000000001E-3</v>
      </c>
      <c r="M32" s="3365">
        <f t="shared" si="17"/>
        <v>4.5000000000000005E-3</v>
      </c>
      <c r="N32" s="3365">
        <f t="shared" si="17"/>
        <v>5.3E-3</v>
      </c>
      <c r="O32" s="3365"/>
      <c r="P32" s="3365">
        <f t="shared" si="27"/>
        <v>4.5000000000000005E-3</v>
      </c>
      <c r="Q32" s="3363"/>
      <c r="R32" s="3379"/>
      <c r="S32" s="3379">
        <f>ROUND(IF(项目基本情况!$B$8="出让",SUMPRODUCT(PRODUCT(1+L32:L$36)),SUMPRODUCT(PRODUCT(1+L32:L$35))),4)</f>
        <v>1.0222</v>
      </c>
      <c r="T32" s="3379">
        <f>ROUND(IF(项目基本情况!$B$8="出让",SUMPRODUCT(PRODUCT(1+M32:M$36)),SUMPRODUCT(PRODUCT(1+M32:M$35))),4)</f>
        <v>1.0127999999999999</v>
      </c>
      <c r="U32" s="3379">
        <f>ROUND(IF(项目基本情况!$B$8="出让",SUMPRODUCT(PRODUCT(1+N32:N$36)),SUMPRODUCT(PRODUCT(1+N32:N$35))),4)</f>
        <v>1.0326</v>
      </c>
      <c r="V32" s="3379"/>
      <c r="W32" s="3379">
        <f t="shared" si="28"/>
        <v>1.0127999999999999</v>
      </c>
      <c r="X32" s="3363"/>
      <c r="Y32" s="3388"/>
      <c r="Z32" s="3389">
        <f t="shared" si="29"/>
        <v>5.1000000000000004E-3</v>
      </c>
      <c r="AA32" s="3391">
        <f t="shared" si="29"/>
        <v>3.5000000000000001E-3</v>
      </c>
      <c r="AB32" s="3388">
        <f t="shared" si="29"/>
        <v>8.3999999999999995E-3</v>
      </c>
      <c r="AC32" s="3390"/>
      <c r="AD32" s="3388">
        <f t="shared" si="29"/>
        <v>3.5000000000000001E-3</v>
      </c>
    </row>
    <row r="33" spans="1:30">
      <c r="A33" s="3342" t="s">
        <v>2778</v>
      </c>
      <c r="B33" s="3401">
        <v>2021</v>
      </c>
      <c r="C33" s="3402">
        <v>4</v>
      </c>
      <c r="D33" s="3402"/>
      <c r="E33" s="3402">
        <v>0.57999999999999996</v>
      </c>
      <c r="F33" s="3402">
        <v>0.08</v>
      </c>
      <c r="G33" s="3402">
        <v>0.68</v>
      </c>
      <c r="H33" s="3408"/>
      <c r="I33" s="3403">
        <f t="shared" si="16"/>
        <v>0.08</v>
      </c>
      <c r="J33" s="3363"/>
      <c r="K33" s="3364"/>
      <c r="L33" s="3365">
        <f t="shared" si="17"/>
        <v>5.7999999999999996E-3</v>
      </c>
      <c r="M33" s="3365">
        <f t="shared" si="17"/>
        <v>8.0000000000000004E-4</v>
      </c>
      <c r="N33" s="3365">
        <f t="shared" si="17"/>
        <v>6.8000000000000005E-3</v>
      </c>
      <c r="O33" s="3365"/>
      <c r="P33" s="3365">
        <f t="shared" si="27"/>
        <v>8.0000000000000004E-4</v>
      </c>
      <c r="Q33" s="3363"/>
      <c r="R33" s="3379"/>
      <c r="S33" s="3379">
        <f>ROUND(IF(项目基本情况!$B$8="出让",SUMPRODUCT(PRODUCT(1+L33:L$36)),SUMPRODUCT(PRODUCT(1+L33:L$35))),4)</f>
        <v>1.0161</v>
      </c>
      <c r="T33" s="3379">
        <f>ROUND(IF(项目基本情况!$B$8="出让",SUMPRODUCT(PRODUCT(1+M33:M$36)),SUMPRODUCT(PRODUCT(1+M33:M$35))),4)</f>
        <v>1.0082</v>
      </c>
      <c r="U33" s="3379">
        <f>ROUND(IF(项目基本情况!$B$8="出让",SUMPRODUCT(PRODUCT(1+N33:N$36)),SUMPRODUCT(PRODUCT(1+N33:N$35))),4)</f>
        <v>1.0270999999999999</v>
      </c>
      <c r="V33" s="3379"/>
      <c r="W33" s="3379">
        <f t="shared" si="28"/>
        <v>1.0082</v>
      </c>
      <c r="X33" s="3363"/>
      <c r="Y33" s="3388"/>
      <c r="Z33" s="3389">
        <f t="shared" si="29"/>
        <v>4.8999999999999998E-3</v>
      </c>
      <c r="AA33" s="3391">
        <f t="shared" si="29"/>
        <v>3.3E-3</v>
      </c>
      <c r="AB33" s="3388">
        <f t="shared" si="29"/>
        <v>9.1999999999999998E-3</v>
      </c>
      <c r="AC33" s="3390"/>
      <c r="AD33" s="3388">
        <f t="shared" si="29"/>
        <v>3.3E-3</v>
      </c>
    </row>
    <row r="34" spans="1:30">
      <c r="A34" s="3342" t="s">
        <v>2779</v>
      </c>
      <c r="B34" s="3401">
        <v>2021</v>
      </c>
      <c r="C34" s="3402">
        <v>3</v>
      </c>
      <c r="D34" s="3402"/>
      <c r="E34" s="3402">
        <v>0.47</v>
      </c>
      <c r="F34" s="3402">
        <v>0.28000000000000003</v>
      </c>
      <c r="G34" s="3402">
        <v>0.91</v>
      </c>
      <c r="H34" s="3408"/>
      <c r="I34" s="3403">
        <f t="shared" si="16"/>
        <v>0.28000000000000003</v>
      </c>
      <c r="J34" s="3363"/>
      <c r="K34" s="3364"/>
      <c r="L34" s="3365">
        <f t="shared" si="17"/>
        <v>4.6999999999999993E-3</v>
      </c>
      <c r="M34" s="3365">
        <f t="shared" si="17"/>
        <v>2.8000000000000004E-3</v>
      </c>
      <c r="N34" s="3365">
        <f t="shared" si="17"/>
        <v>9.1000000000000004E-3</v>
      </c>
      <c r="O34" s="3365"/>
      <c r="P34" s="3365">
        <f t="shared" si="27"/>
        <v>2.8000000000000004E-3</v>
      </c>
      <c r="Q34" s="3363"/>
      <c r="R34" s="3379"/>
      <c r="S34" s="3379">
        <f>ROUND(IF(项目基本情况!$B$8="出让",SUMPRODUCT(PRODUCT(1+L34:L$36)),SUMPRODUCT(PRODUCT(1+L34:L$35))),4)</f>
        <v>1.0102</v>
      </c>
      <c r="T34" s="3379">
        <f>ROUND(IF(项目基本情况!$B$8="出让",SUMPRODUCT(PRODUCT(1+M34:M$36)),SUMPRODUCT(PRODUCT(1+M34:M$35))),4)</f>
        <v>1.0074000000000001</v>
      </c>
      <c r="U34" s="3379">
        <f>ROUND(IF(项目基本情况!$B$8="出让",SUMPRODUCT(PRODUCT(1+N34:N$36)),SUMPRODUCT(PRODUCT(1+N34:N$35))),4)</f>
        <v>1.0202</v>
      </c>
      <c r="V34" s="3379"/>
      <c r="W34" s="3379">
        <f t="shared" si="28"/>
        <v>1.0074000000000001</v>
      </c>
      <c r="X34" s="3363"/>
      <c r="Y34" s="3388"/>
      <c r="Z34" s="3389">
        <f t="shared" si="29"/>
        <v>4.5999999999999999E-3</v>
      </c>
      <c r="AA34" s="3391">
        <f t="shared" si="29"/>
        <v>4.1000000000000003E-3</v>
      </c>
      <c r="AB34" s="3388">
        <f t="shared" si="29"/>
        <v>0.01</v>
      </c>
      <c r="AC34" s="3390"/>
      <c r="AD34" s="3388">
        <f t="shared" si="29"/>
        <v>4.1000000000000003E-3</v>
      </c>
    </row>
    <row r="35" spans="1:30">
      <c r="A35" s="3342" t="s">
        <v>2783</v>
      </c>
      <c r="B35" s="3401">
        <v>2021</v>
      </c>
      <c r="C35" s="3402">
        <v>2</v>
      </c>
      <c r="D35" s="3402"/>
      <c r="E35" s="3402">
        <v>0.55000000000000004</v>
      </c>
      <c r="F35" s="3402">
        <v>0.46</v>
      </c>
      <c r="G35" s="3402">
        <v>1.1000000000000001</v>
      </c>
      <c r="H35" s="3408"/>
      <c r="I35" s="3403">
        <f t="shared" si="16"/>
        <v>0.46</v>
      </c>
      <c r="J35" s="3363"/>
      <c r="K35" s="3364"/>
      <c r="L35" s="3365">
        <f t="shared" si="17"/>
        <v>5.5000000000000005E-3</v>
      </c>
      <c r="M35" s="3365">
        <f t="shared" si="17"/>
        <v>4.5999999999999999E-3</v>
      </c>
      <c r="N35" s="3365">
        <f t="shared" si="17"/>
        <v>1.1000000000000001E-2</v>
      </c>
      <c r="O35" s="3365"/>
      <c r="P35" s="3365">
        <f t="shared" si="27"/>
        <v>4.5999999999999999E-3</v>
      </c>
      <c r="Q35" s="3363"/>
      <c r="R35" s="3379"/>
      <c r="S35" s="3379">
        <f>ROUND(IF(项目基本情况!$B$8="出让",SUMPRODUCT(PRODUCT(1+L35:L$36)),SUMPRODUCT(PRODUCT(1+L35:L$35))),4)</f>
        <v>1.0055000000000001</v>
      </c>
      <c r="T35" s="3379">
        <f>ROUND(IF(项目基本情况!$B$8="出让",SUMPRODUCT(PRODUCT(1+M35:M$36)),SUMPRODUCT(PRODUCT(1+M35:M$35))),4)</f>
        <v>1.0045999999999999</v>
      </c>
      <c r="U35" s="3379">
        <f>ROUND(IF(项目基本情况!$B$8="出让",SUMPRODUCT(PRODUCT(1+N35:N$36)),SUMPRODUCT(PRODUCT(1+N35:N$35))),4)</f>
        <v>1.0109999999999999</v>
      </c>
      <c r="V35" s="3379"/>
      <c r="W35" s="3379">
        <f t="shared" si="28"/>
        <v>1.0045999999999999</v>
      </c>
      <c r="X35" s="3363"/>
      <c r="Y35" s="3388"/>
      <c r="Z35" s="3389">
        <f t="shared" si="29"/>
        <v>4.4999999999999997E-3</v>
      </c>
      <c r="AA35" s="3391">
        <f t="shared" si="29"/>
        <v>4.7000000000000002E-3</v>
      </c>
      <c r="AB35" s="3388">
        <f t="shared" si="29"/>
        <v>1.04E-2</v>
      </c>
      <c r="AC35" s="3390"/>
      <c r="AD35" s="3388">
        <f t="shared" si="29"/>
        <v>4.7000000000000002E-3</v>
      </c>
    </row>
    <row r="36" spans="1:30" ht="14.25" thickBot="1">
      <c r="A36" s="3344" t="s">
        <v>2784</v>
      </c>
      <c r="B36" s="3409">
        <v>2021</v>
      </c>
      <c r="C36" s="3410">
        <v>1</v>
      </c>
      <c r="D36" s="3410"/>
      <c r="E36" s="3410">
        <v>0.35</v>
      </c>
      <c r="F36" s="3410">
        <v>0.48</v>
      </c>
      <c r="G36" s="3410">
        <v>0.98</v>
      </c>
      <c r="H36" s="3411"/>
      <c r="I36" s="3412">
        <f t="shared" si="16"/>
        <v>0.48</v>
      </c>
      <c r="J36" s="3369"/>
      <c r="K36" s="3370"/>
      <c r="L36" s="3371">
        <f t="shared" si="17"/>
        <v>3.4999999999999996E-3</v>
      </c>
      <c r="M36" s="3371">
        <f>F36/100</f>
        <v>4.7999999999999996E-3</v>
      </c>
      <c r="N36" s="3371">
        <f t="shared" si="17"/>
        <v>9.7999999999999997E-3</v>
      </c>
      <c r="O36" s="3371"/>
      <c r="P36" s="3371">
        <f t="shared" si="27"/>
        <v>4.7999999999999996E-3</v>
      </c>
      <c r="Q36" s="3369"/>
      <c r="R36" s="3380"/>
      <c r="S36" s="3380">
        <v>1</v>
      </c>
      <c r="T36" s="3380">
        <v>1</v>
      </c>
      <c r="U36" s="3380">
        <v>1</v>
      </c>
      <c r="V36" s="3380"/>
      <c r="W36" s="3380">
        <f t="shared" si="28"/>
        <v>1</v>
      </c>
      <c r="X36" s="3369"/>
      <c r="Y36" s="3371"/>
      <c r="Z36" s="3395">
        <f t="shared" si="29"/>
        <v>3.5000000000000001E-3</v>
      </c>
      <c r="AA36" s="3396">
        <f t="shared" si="29"/>
        <v>4.7999999999999996E-3</v>
      </c>
      <c r="AB36" s="3371">
        <f t="shared" si="29"/>
        <v>9.7999999999999997E-3</v>
      </c>
      <c r="AC36" s="3397"/>
      <c r="AD36" s="3371">
        <f t="shared" si="29"/>
        <v>4.7999999999999996E-3</v>
      </c>
    </row>
    <row r="37" spans="1:30" ht="14.25" thickTop="1"/>
    <row r="38" spans="1:30">
      <c r="A38" s="3660"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2203</v>
      </c>
      <c r="B1" s="2986"/>
      <c r="C1" s="2986"/>
      <c r="D1" s="2986"/>
      <c r="E1" s="2986"/>
      <c r="F1" s="2986"/>
      <c r="G1" s="2987"/>
      <c r="H1" s="2987"/>
      <c r="I1" s="2987"/>
      <c r="J1" s="2987"/>
      <c r="K1" s="2987"/>
      <c r="L1" s="2987"/>
      <c r="M1" s="2987"/>
      <c r="N1" s="2987"/>
    </row>
    <row r="2" spans="1:14" ht="14.25">
      <c r="A2" s="2992" t="s">
        <v>2198</v>
      </c>
      <c r="B2" s="2997">
        <f ca="1">SUMIF(B7:B14,"&lt;&gt;#ref!",B7:B14)</f>
        <v>0</v>
      </c>
      <c r="C2" s="2992" t="s">
        <v>2199</v>
      </c>
      <c r="D2" s="2989"/>
      <c r="E2" s="2989"/>
      <c r="F2" s="2989"/>
      <c r="G2" s="2987"/>
      <c r="H2" s="2987"/>
      <c r="I2" s="2987"/>
      <c r="J2" s="2987"/>
      <c r="K2" s="2987"/>
      <c r="L2" s="2987"/>
      <c r="M2" s="2987"/>
      <c r="N2" s="2987"/>
    </row>
    <row r="3" spans="1:14" ht="14.25">
      <c r="A3" s="2992" t="s">
        <v>2227</v>
      </c>
      <c r="B3" s="2997" t="e">
        <f ca="1">ROUND(B2*10000/E3,0)</f>
        <v>#DIV/0!</v>
      </c>
      <c r="C3" s="2992" t="s">
        <v>1595</v>
      </c>
      <c r="D3" s="2992" t="s">
        <v>2200</v>
      </c>
      <c r="E3" s="2990">
        <f ca="1">SUMIF(E7:E14,"&lt;&gt;#ref!",E7:E14)</f>
        <v>0</v>
      </c>
      <c r="F3" s="2989"/>
      <c r="G3" s="2987"/>
      <c r="H3" s="2987"/>
      <c r="I3" s="2987"/>
      <c r="J3" s="2987"/>
      <c r="K3" s="2987"/>
      <c r="L3" s="2987"/>
      <c r="M3" s="2987"/>
      <c r="N3" s="2987"/>
    </row>
    <row r="4" spans="1:14" ht="14.25">
      <c r="A4" s="2992" t="s">
        <v>2206</v>
      </c>
      <c r="B4" s="2997" t="e">
        <f ca="1">ROUND(B2*10000/E4,0)</f>
        <v>#DIV/0!</v>
      </c>
      <c r="C4" s="2992" t="s">
        <v>1595</v>
      </c>
      <c r="D4" s="2992" t="s">
        <v>2207</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2204</v>
      </c>
      <c r="B6" s="2992" t="s">
        <v>2201</v>
      </c>
      <c r="C6" s="2544"/>
      <c r="D6" s="2989"/>
      <c r="E6" s="2992" t="s">
        <v>2202</v>
      </c>
      <c r="F6" s="2992" t="s">
        <v>2205</v>
      </c>
      <c r="G6" s="2987"/>
      <c r="H6" s="2987"/>
      <c r="I6" s="2987"/>
      <c r="J6" s="2987"/>
      <c r="K6" s="2987"/>
      <c r="L6" s="2987"/>
      <c r="M6" s="2987"/>
      <c r="N6" s="2987"/>
    </row>
    <row r="7" spans="1:14" ht="14.25">
      <c r="A7" s="2995"/>
      <c r="B7" s="2997" t="e">
        <f ca="1">SUMIF(INDIRECT("'"&amp;A7&amp;"'"&amp;"!A:A"),"总价",INDIRECT("'"&amp;A7&amp;"'"&amp;"!B:B"))</f>
        <v>#REF!</v>
      </c>
      <c r="C7" s="2992" t="s">
        <v>2199</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2199</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2199</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2199</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2199</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2199</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2199</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2199</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1725</v>
      </c>
      <c r="F1" s="2079">
        <f ca="1">J54</f>
        <v>-3</v>
      </c>
      <c r="G1" s="740">
        <f>MATCH(C1,'数据-取费表'!A6:A16,0)+5</f>
        <v>9</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1799</v>
      </c>
      <c r="C7" s="51">
        <f ca="1">C8+C12+C14</f>
        <v>0</v>
      </c>
      <c r="D7" s="2142" t="s">
        <v>1802</v>
      </c>
      <c r="E7" s="2136"/>
      <c r="F7" s="2137"/>
      <c r="G7" s="1404"/>
      <c r="H7" s="747">
        <v>1</v>
      </c>
      <c r="I7" s="748" t="s">
        <v>1799</v>
      </c>
      <c r="J7" s="51">
        <f ca="1">J8+J12+J14</f>
        <v>0</v>
      </c>
      <c r="K7" s="2142" t="s">
        <v>1802</v>
      </c>
      <c r="L7" s="2136"/>
      <c r="M7" s="2137"/>
    </row>
    <row r="8" spans="1:25" ht="18" customHeight="1">
      <c r="A8" s="1616" t="s">
        <v>1353</v>
      </c>
      <c r="B8" s="4006" t="s">
        <v>1804</v>
      </c>
      <c r="C8" s="1611">
        <f ca="1">ROUND(F8*F10*F9*(1-F11)/10000,0)</f>
        <v>0</v>
      </c>
      <c r="D8" s="1608" t="s">
        <v>1814</v>
      </c>
      <c r="E8" s="59" t="s">
        <v>585</v>
      </c>
      <c r="F8" s="751">
        <f ca="1">INDIRECT("'数据-取费表'!u"&amp;$G$1)</f>
        <v>0</v>
      </c>
      <c r="G8" s="1404"/>
      <c r="H8" s="2150" t="s">
        <v>1353</v>
      </c>
      <c r="I8" s="4006" t="s">
        <v>1804</v>
      </c>
      <c r="J8" s="749">
        <f ca="1">ROUND(M8*M10*M9*(1-M11)/10000,0)</f>
        <v>0</v>
      </c>
      <c r="K8" s="332" t="s">
        <v>1814</v>
      </c>
      <c r="L8" s="750" t="s">
        <v>1267</v>
      </c>
      <c r="M8" s="751">
        <f ca="1">INDIRECT("'数据-取费表'!z"&amp;$G$1)</f>
        <v>0</v>
      </c>
    </row>
    <row r="9" spans="1:25" ht="18" customHeight="1">
      <c r="A9" s="2146"/>
      <c r="B9" s="4007"/>
      <c r="C9" s="1612"/>
      <c r="D9" s="1609"/>
      <c r="E9" s="59" t="s">
        <v>586</v>
      </c>
      <c r="F9" s="751">
        <f ca="1">IF(INDIRECT("'数据-取费表'!ah"&amp;$G$1)="",INDIRECT("'数据-取费表'!k"&amp;$G$1),INDIRECT("'数据-取费表'!ah"&amp;$G$1))</f>
        <v>0</v>
      </c>
      <c r="G9" s="1404"/>
      <c r="H9" s="2135"/>
      <c r="I9" s="4007"/>
      <c r="J9" s="754"/>
      <c r="K9" s="755"/>
      <c r="L9" s="750" t="s">
        <v>1268</v>
      </c>
      <c r="M9" s="751">
        <f ca="1">F9</f>
        <v>0</v>
      </c>
    </row>
    <row r="10" spans="1:25" ht="18" customHeight="1">
      <c r="A10" s="2139"/>
      <c r="B10" s="4008"/>
      <c r="C10" s="1612"/>
      <c r="D10" s="1609"/>
      <c r="E10" s="59" t="s">
        <v>587</v>
      </c>
      <c r="F10" s="751">
        <f ca="1">INDIRECT("'数据-取费表'!ai"&amp;$G$1)</f>
        <v>0</v>
      </c>
      <c r="G10" s="1404"/>
      <c r="H10" s="2135"/>
      <c r="I10" s="4008"/>
      <c r="J10" s="754"/>
      <c r="K10" s="755"/>
      <c r="L10" s="750" t="s">
        <v>1269</v>
      </c>
      <c r="M10" s="751">
        <f ca="1">INDIRECT("'数据-取费表'!ai"&amp;$G$1)</f>
        <v>0</v>
      </c>
    </row>
    <row r="11" spans="1:25" ht="18" customHeight="1">
      <c r="A11" s="752"/>
      <c r="B11" s="4009"/>
      <c r="C11" s="1612"/>
      <c r="D11" s="1609"/>
      <c r="E11" s="59" t="s">
        <v>588</v>
      </c>
      <c r="F11" s="760">
        <f ca="1">INDIRECT("'数据-取费表'!w"&amp;$G$1)</f>
        <v>0</v>
      </c>
      <c r="G11" s="1404"/>
      <c r="H11" s="2151"/>
      <c r="I11" s="4008"/>
      <c r="J11" s="754"/>
      <c r="K11" s="755"/>
      <c r="L11" s="761" t="s">
        <v>1270</v>
      </c>
      <c r="M11" s="762">
        <f ca="1">INDIRECT("'数据-取费表'!ab"&amp;$G$1)</f>
        <v>0</v>
      </c>
    </row>
    <row r="12" spans="1:25" ht="18" customHeight="1">
      <c r="A12" s="1616" t="s">
        <v>1354</v>
      </c>
      <c r="B12" s="2140" t="s">
        <v>1800</v>
      </c>
      <c r="C12" s="765">
        <f ca="1">ROUND(IF(F12="押一",C8/12*F13,IF(F12="押二",C8/12*2*F13,IF(F12="押三",C8/12*3*F13,C13*F13))),0)</f>
        <v>0</v>
      </c>
      <c r="D12" s="2147" t="s">
        <v>2224</v>
      </c>
      <c r="E12" s="2144" t="s">
        <v>1805</v>
      </c>
      <c r="F12" s="2228"/>
      <c r="G12" s="1404"/>
      <c r="H12" s="2178" t="s">
        <v>1354</v>
      </c>
      <c r="I12" s="2183" t="s">
        <v>1800</v>
      </c>
      <c r="J12" s="749">
        <f ca="1">ROUND(IF(M12="押一",J8/12*M13,IF(M12="押二",J8/12*2*M13,IF(M12="押三",J8/12*3*M13,J13*M13))),0)</f>
        <v>0</v>
      </c>
      <c r="K12" s="2147" t="s">
        <v>2224</v>
      </c>
      <c r="L12" s="2144" t="s">
        <v>1805</v>
      </c>
      <c r="M12" s="2228"/>
    </row>
    <row r="13" spans="1:25" ht="18" customHeight="1">
      <c r="A13" s="756"/>
      <c r="B13" s="2141" t="s">
        <v>1853</v>
      </c>
      <c r="C13" s="2145"/>
      <c r="D13" s="755"/>
      <c r="E13" s="2144" t="s">
        <v>1798</v>
      </c>
      <c r="F13" s="762">
        <f ca="1">'数据-取费表'!B39</f>
        <v>1.4999999999999999E-2</v>
      </c>
      <c r="G13" s="1404"/>
      <c r="H13" s="2179"/>
      <c r="I13" s="2141" t="s">
        <v>1853</v>
      </c>
      <c r="J13" s="2145"/>
      <c r="K13" s="2180"/>
      <c r="L13" s="2144" t="s">
        <v>1798</v>
      </c>
      <c r="M13" s="2138">
        <f ca="1">'数据-取费表'!B39</f>
        <v>1.4999999999999999E-2</v>
      </c>
    </row>
    <row r="14" spans="1:25" ht="18" customHeight="1" thickBot="1">
      <c r="A14" s="2154" t="s">
        <v>1808</v>
      </c>
      <c r="B14" s="2155" t="s">
        <v>1801</v>
      </c>
      <c r="C14" s="2156"/>
      <c r="D14" s="2157"/>
      <c r="E14" s="2158"/>
      <c r="F14" s="2159"/>
      <c r="G14" s="1404"/>
      <c r="H14" s="2168" t="s">
        <v>1808</v>
      </c>
      <c r="I14" s="2181" t="s">
        <v>1801</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1586</v>
      </c>
      <c r="I16" s="1949" t="s">
        <v>2099</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0.05</v>
      </c>
      <c r="G17" s="1405"/>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3242</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0.03</v>
      </c>
      <c r="G22" s="1405"/>
      <c r="H22" s="1618" t="s">
        <v>1379</v>
      </c>
      <c r="I22" s="1608" t="s">
        <v>615</v>
      </c>
      <c r="J22" s="52">
        <f ca="1">ROUND(M22*M23/10000,0)</f>
        <v>0</v>
      </c>
      <c r="K22" s="779" t="s">
        <v>616</v>
      </c>
      <c r="L22" s="750" t="s">
        <v>617</v>
      </c>
      <c r="M22" s="608">
        <f>'数据-取费表'!B52</f>
        <v>9</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0.03</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1587</v>
      </c>
      <c r="I24" s="750" t="s">
        <v>623</v>
      </c>
      <c r="J24" s="51">
        <f ca="1">ROUND(J16*M24,0)</f>
        <v>0</v>
      </c>
      <c r="K24" s="1731" t="s">
        <v>624</v>
      </c>
      <c r="L24" s="750" t="s">
        <v>597</v>
      </c>
      <c r="M24" s="782">
        <f ca="1">INDIRECT("'数据-取费表'!Ak"&amp;$G$1)</f>
        <v>0</v>
      </c>
    </row>
    <row r="25" spans="1:25" s="1787" customFormat="1" ht="18" customHeight="1">
      <c r="A25" s="769" t="s">
        <v>1400</v>
      </c>
      <c r="B25" s="750" t="s">
        <v>1781</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3</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1.9E-3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2096</v>
      </c>
      <c r="J27" s="765">
        <f ca="1">J7-J18</f>
        <v>0</v>
      </c>
      <c r="K27" s="1733" t="s">
        <v>647</v>
      </c>
      <c r="L27" s="1735"/>
      <c r="M27" s="785"/>
    </row>
    <row r="28" spans="1:25" ht="18" customHeight="1">
      <c r="A28" s="769" t="s">
        <v>1400</v>
      </c>
      <c r="B28" s="750" t="s">
        <v>1782</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2097</v>
      </c>
      <c r="C31" s="2161">
        <f ca="1">ROUND((C21+C22+C25+C28)/(1-F23-C26-C29-C30),0)</f>
        <v>0</v>
      </c>
      <c r="D31" s="2162"/>
      <c r="E31" s="2163"/>
      <c r="F31" s="2164"/>
      <c r="G31" s="1405"/>
      <c r="H31" s="788" t="s">
        <v>1397</v>
      </c>
      <c r="I31" s="2485" t="s">
        <v>2098</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2275</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3242</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9</v>
      </c>
      <c r="G36" s="1785"/>
      <c r="H36" s="1788"/>
      <c r="I36" s="4005"/>
      <c r="J36" s="1802"/>
      <c r="K36" s="1803"/>
      <c r="L36" s="1802"/>
      <c r="M36" s="1802"/>
    </row>
    <row r="37" spans="1:18" ht="18" customHeight="1">
      <c r="A37" s="780"/>
      <c r="B37" s="759"/>
      <c r="C37" s="67"/>
      <c r="D37" s="781"/>
      <c r="E37" s="750" t="s">
        <v>621</v>
      </c>
      <c r="F37" s="751">
        <f ca="1">INDIRECT("'数据-取费表'!r"&amp;$G$1)</f>
        <v>0</v>
      </c>
      <c r="G37" s="1785"/>
      <c r="H37" s="1788"/>
      <c r="I37" s="4005"/>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2214</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2217</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1694</v>
      </c>
      <c r="J47" s="2070"/>
      <c r="K47" s="2071"/>
      <c r="L47" s="2565" t="e">
        <f ca="1">IF(M48="住宅",0,IF(L49&gt;J52,L61,J61))</f>
        <v>#DIV/0!</v>
      </c>
      <c r="O47" s="2085" t="s">
        <v>1761</v>
      </c>
      <c r="P47" s="1404"/>
      <c r="Q47" s="1412"/>
      <c r="R47" s="1404"/>
    </row>
    <row r="48" spans="1:18" s="1782" customFormat="1" ht="18" customHeight="1" thickBot="1">
      <c r="A48" s="1806"/>
      <c r="C48" s="1809"/>
      <c r="D48" s="1810"/>
      <c r="E48" s="1810"/>
      <c r="F48" s="1811"/>
      <c r="G48" s="1812"/>
      <c r="I48" s="2556" t="s">
        <v>1695</v>
      </c>
      <c r="J48" s="2072"/>
      <c r="K48" s="2562" t="s">
        <v>1700</v>
      </c>
      <c r="L48" s="2566">
        <f ca="1">INDIRECT("'数据-取费表'!d"&amp;$G$1)</f>
        <v>0</v>
      </c>
      <c r="M48" s="2548" t="str">
        <f>IF(ISNUMBER(FIND("住宅",C1)),"住宅","非住宅")</f>
        <v>非住宅</v>
      </c>
      <c r="O48" s="2086" t="s">
        <v>1726</v>
      </c>
      <c r="P48" s="2087" t="s">
        <v>1727</v>
      </c>
      <c r="Q48" s="2088" t="s">
        <v>1728</v>
      </c>
      <c r="R48" s="2087" t="s">
        <v>1729</v>
      </c>
    </row>
    <row r="49" spans="1:18" s="1782" customFormat="1" ht="18" customHeight="1" thickBot="1">
      <c r="A49" s="1806"/>
      <c r="D49" s="1813"/>
      <c r="E49" s="1814"/>
      <c r="F49" s="1811"/>
      <c r="G49" s="1812"/>
      <c r="H49" s="1815"/>
      <c r="I49" s="2553" t="s">
        <v>1696</v>
      </c>
      <c r="J49" s="2073"/>
      <c r="K49" s="2563" t="s">
        <v>1702</v>
      </c>
      <c r="L49" s="1663">
        <f ca="1">INDIRECT("'数据-取费表'!f"&amp;$G$1)</f>
        <v>0</v>
      </c>
      <c r="O49" s="2089" t="s">
        <v>1730</v>
      </c>
      <c r="P49" s="2090" t="s">
        <v>1756</v>
      </c>
      <c r="Q49" s="2091">
        <f ca="1">C41+J31</f>
        <v>0</v>
      </c>
      <c r="R49" s="2090" t="s">
        <v>1731</v>
      </c>
    </row>
    <row r="50" spans="1:18" s="1782" customFormat="1" ht="18" customHeight="1" thickBot="1">
      <c r="A50" s="1806"/>
      <c r="D50" s="1816"/>
      <c r="E50" s="1816"/>
      <c r="F50" s="1810"/>
      <c r="G50" s="1817"/>
      <c r="H50" s="1815"/>
      <c r="I50" s="2553" t="s">
        <v>1697</v>
      </c>
      <c r="J50" s="2074"/>
      <c r="K50" s="2564" t="s">
        <v>1703</v>
      </c>
      <c r="L50" s="2075"/>
      <c r="O50" s="2089" t="s">
        <v>1732</v>
      </c>
      <c r="P50" s="2090" t="s">
        <v>1757</v>
      </c>
      <c r="Q50" s="2091" t="e">
        <f ca="1">J61</f>
        <v>#DIV/0!</v>
      </c>
      <c r="R50" s="2090" t="s">
        <v>1733</v>
      </c>
    </row>
    <row r="51" spans="1:18" s="1782" customFormat="1" ht="18" customHeight="1" thickBot="1">
      <c r="A51" s="1818"/>
      <c r="D51" s="1816"/>
      <c r="E51" s="1816"/>
      <c r="F51" s="1807"/>
      <c r="H51" s="1815"/>
      <c r="I51" s="2553" t="s">
        <v>1698</v>
      </c>
      <c r="J51" s="2560">
        <f>SUMPRODUCT((I64:I66=J48)*(J63:L63=J49)*(J64:L66))</f>
        <v>0</v>
      </c>
      <c r="K51" s="2564" t="s">
        <v>1704</v>
      </c>
      <c r="L51" s="2075"/>
      <c r="O51" s="2092" t="s">
        <v>1734</v>
      </c>
      <c r="P51" s="2090" t="s">
        <v>1758</v>
      </c>
      <c r="Q51" s="2091">
        <f ca="1">C31</f>
        <v>0</v>
      </c>
      <c r="R51" s="2090" t="s">
        <v>1731</v>
      </c>
    </row>
    <row r="52" spans="1:18" s="1782" customFormat="1" ht="18" customHeight="1" thickBot="1">
      <c r="A52" s="1818"/>
      <c r="F52" s="1807"/>
      <c r="I52" s="2557" t="s">
        <v>1699</v>
      </c>
      <c r="J52" s="2561">
        <f>IF(J50="",J51,J50+J51-YEAR('数据-取费表'!B3))</f>
        <v>0</v>
      </c>
      <c r="K52" s="2553" t="s">
        <v>1705</v>
      </c>
      <c r="L52" s="2567">
        <f ca="1">C45</f>
        <v>0</v>
      </c>
      <c r="O52" s="2092" t="s">
        <v>1735</v>
      </c>
      <c r="P52" s="2090" t="s">
        <v>1736</v>
      </c>
      <c r="Q52" s="2093" t="e">
        <f ca="1">J59</f>
        <v>#DIV/0!</v>
      </c>
      <c r="R52" s="2094"/>
    </row>
    <row r="53" spans="1:18" s="1782" customFormat="1" ht="18" customHeight="1" thickBot="1">
      <c r="A53" s="1818"/>
      <c r="F53" s="1807"/>
      <c r="I53" s="2558" t="s">
        <v>1772</v>
      </c>
      <c r="J53" s="2076"/>
      <c r="K53" s="2558" t="s">
        <v>1771</v>
      </c>
      <c r="L53" s="2076"/>
      <c r="O53" s="2092" t="s">
        <v>1737</v>
      </c>
      <c r="P53" s="2090" t="s">
        <v>1738</v>
      </c>
      <c r="Q53" s="2093">
        <f>J53</f>
        <v>0</v>
      </c>
      <c r="R53" s="2094"/>
    </row>
    <row r="54" spans="1:18" s="1782" customFormat="1" ht="29.25" thickBot="1">
      <c r="A54" s="1818"/>
      <c r="I54" s="2559" t="s">
        <v>2228</v>
      </c>
      <c r="J54" s="2610">
        <f ca="1">IF(M48="住宅",MAX(J52,L49-'数据-取费表'!B20),MIN(J52,L49-'数据-取费表'!B20))</f>
        <v>-3</v>
      </c>
      <c r="K54" s="4010"/>
      <c r="L54" s="4011"/>
      <c r="O54" s="2092" t="s">
        <v>1739</v>
      </c>
      <c r="P54" s="2090" t="s">
        <v>1740</v>
      </c>
      <c r="Q54" s="2091">
        <f ca="1">J54</f>
        <v>-3</v>
      </c>
      <c r="R54" s="2090" t="s">
        <v>1741</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1742</v>
      </c>
      <c r="P55" s="2090" t="s">
        <v>1759</v>
      </c>
      <c r="Q55" s="2091" t="e">
        <f ca="1">Q49+Q50</f>
        <v>#DIV/0!</v>
      </c>
      <c r="R55" s="2094" t="s">
        <v>1743</v>
      </c>
    </row>
    <row r="56" spans="1:18" s="1782" customFormat="1" ht="16.5" thickBot="1">
      <c r="A56" s="1818"/>
      <c r="B56" s="1819"/>
      <c r="C56" s="1819"/>
      <c r="I56" s="2570" t="s">
        <v>1706</v>
      </c>
      <c r="J56" s="2542" t="e">
        <f ca="1">ROUND(IF(J48="钢混",J58/J51,1-(1-2%)*(J51-J58)/J51),3)</f>
        <v>#DIV/0!</v>
      </c>
      <c r="K56" s="2571" t="s">
        <v>1707</v>
      </c>
      <c r="L56" s="2077"/>
      <c r="O56" s="2095" t="s">
        <v>1762</v>
      </c>
      <c r="P56" s="1404"/>
      <c r="Q56" s="1412"/>
      <c r="R56" s="1404"/>
    </row>
    <row r="57" spans="1:18" s="1782" customFormat="1" ht="43.5" thickBot="1">
      <c r="A57" s="1818"/>
      <c r="B57" s="1819"/>
      <c r="C57" s="1819"/>
      <c r="I57" s="2572" t="s">
        <v>1708</v>
      </c>
      <c r="J57" s="2582"/>
      <c r="K57" s="2553" t="s">
        <v>1713</v>
      </c>
      <c r="L57" s="1663">
        <f ca="1">IF(L49&lt;J52,"——",L49-J52)</f>
        <v>0</v>
      </c>
      <c r="O57" s="2086" t="s">
        <v>1726</v>
      </c>
      <c r="P57" s="2087" t="s">
        <v>1727</v>
      </c>
      <c r="Q57" s="2088" t="s">
        <v>1728</v>
      </c>
      <c r="R57" s="2087" t="s">
        <v>1729</v>
      </c>
    </row>
    <row r="58" spans="1:18" s="1782" customFormat="1" ht="29.25" thickBot="1">
      <c r="A58" s="1818"/>
      <c r="B58" s="1819"/>
      <c r="C58" s="1819"/>
      <c r="I58" s="2573" t="s">
        <v>1709</v>
      </c>
      <c r="J58" s="2574">
        <f ca="1">IF(OR(M48="住宅",J52&lt;L49,J57="是"),"——",J52-L49)</f>
        <v>0</v>
      </c>
      <c r="K58" s="2553" t="s">
        <v>1714</v>
      </c>
      <c r="L58" s="1663">
        <f ca="1">IF(L49&lt;J52,"——",IF(L56="比较法",L50,IF(L56="基准地价",L51,L52)))</f>
        <v>0</v>
      </c>
      <c r="O58" s="2089" t="s">
        <v>1730</v>
      </c>
      <c r="P58" s="2090" t="s">
        <v>1756</v>
      </c>
      <c r="Q58" s="2091">
        <f ca="1">C41+J31</f>
        <v>0</v>
      </c>
      <c r="R58" s="2090" t="s">
        <v>1731</v>
      </c>
    </row>
    <row r="59" spans="1:18" s="1782" customFormat="1" ht="29.25" thickBot="1">
      <c r="A59" s="1818"/>
      <c r="B59" s="1819"/>
      <c r="C59" s="1819"/>
      <c r="I59" s="2573" t="s">
        <v>1710</v>
      </c>
      <c r="J59" s="2543" t="e">
        <f ca="1">IF(J56&lt;0.4,0.4,J56)</f>
        <v>#DIV/0!</v>
      </c>
      <c r="K59" s="2553" t="s">
        <v>1715</v>
      </c>
      <c r="L59" s="1663">
        <f ca="1">IF(ISERROR(POWER(1+L53,L48-L49)*(POWER(1+L53,L49)-1)/(POWER(1+L53,L48)-1)),0,POWER(1+L53,L48-L49)*(POWER(1+L53,L49)-1)/(POWER(1+L53,L48)-1))</f>
        <v>0</v>
      </c>
      <c r="O59" s="2089" t="s">
        <v>1732</v>
      </c>
      <c r="P59" s="2090" t="s">
        <v>1763</v>
      </c>
      <c r="Q59" s="2091" t="e">
        <f ca="1">L61</f>
        <v>#DIV/0!</v>
      </c>
      <c r="R59" s="2094" t="s">
        <v>1765</v>
      </c>
    </row>
    <row r="60" spans="1:18" s="1782" customFormat="1" ht="29.25" thickBot="1">
      <c r="A60" s="1818"/>
      <c r="B60" s="1819"/>
      <c r="C60" s="1819"/>
      <c r="I60" s="2573" t="s">
        <v>1711</v>
      </c>
      <c r="J60" s="2574" t="e">
        <f ca="1">IF(OR(M48="住宅",J52&lt;L49,J57="是"),"——",ROUND(C30*J59,0))</f>
        <v>#DIV/0!</v>
      </c>
      <c r="K60" s="2553" t="s">
        <v>1716</v>
      </c>
      <c r="L60" s="1663">
        <f ca="1">IF(ISERROR(POWER(1+L53,L48-J52)*(POWER(1+L53,J52)-1)/(POWER(1+L53,L48)-1)),0,POWER(1+L53,L48-J52)*(POWER(1+L53,J52)-1)/(POWER(1+L53,L48)-1))</f>
        <v>0</v>
      </c>
      <c r="O60" s="2092" t="s">
        <v>1734</v>
      </c>
      <c r="P60" s="2090" t="s">
        <v>1764</v>
      </c>
      <c r="Q60" s="2091">
        <f>IF(L56="比较法",L50,IF(L56="基准地价",L51,0))</f>
        <v>0</v>
      </c>
      <c r="R60" s="2090" t="s">
        <v>1731</v>
      </c>
    </row>
    <row r="61" spans="1:18" s="1782" customFormat="1" ht="15.75" thickBot="1">
      <c r="A61" s="1818"/>
      <c r="B61" s="1819"/>
      <c r="C61" s="1819"/>
      <c r="I61" s="2575" t="s">
        <v>1712</v>
      </c>
      <c r="J61" s="2576" t="e">
        <f ca="1">IF(OR(M48="住宅",J52&lt;L49,J57="是"),"0",ROUND(J60/(1+J53)^J54,0))</f>
        <v>#DIV/0!</v>
      </c>
      <c r="K61" s="2577" t="s">
        <v>1717</v>
      </c>
      <c r="L61" s="2576" t="e">
        <f ca="1">IF(OR(M48="住宅",L49&lt;J52),0,ROUND(L58*(L59/L60-1),0))</f>
        <v>#DIV/0!</v>
      </c>
      <c r="O61" s="2092" t="s">
        <v>1735</v>
      </c>
      <c r="P61" s="2090" t="s">
        <v>1744</v>
      </c>
      <c r="Q61" s="2093">
        <f>L53</f>
        <v>0</v>
      </c>
      <c r="R61" s="2094"/>
    </row>
    <row r="62" spans="1:18" s="1782" customFormat="1" ht="20.25" thickBot="1">
      <c r="A62" s="1818"/>
      <c r="B62" s="1819"/>
      <c r="C62" s="1819"/>
      <c r="K62" s="1808"/>
      <c r="O62" s="2092" t="s">
        <v>1737</v>
      </c>
      <c r="P62" s="2090" t="s">
        <v>1745</v>
      </c>
      <c r="Q62" s="2091">
        <f ca="1">L59</f>
        <v>0</v>
      </c>
      <c r="R62" s="2094" t="s">
        <v>1746</v>
      </c>
    </row>
    <row r="63" spans="1:18" s="1782" customFormat="1" ht="20.25" thickBot="1">
      <c r="A63" s="1818"/>
      <c r="B63" s="1819"/>
      <c r="C63" s="1819"/>
      <c r="I63" s="2578" t="s">
        <v>1718</v>
      </c>
      <c r="J63" s="2579" t="s">
        <v>1719</v>
      </c>
      <c r="K63" s="2579" t="s">
        <v>1720</v>
      </c>
      <c r="L63" s="2579" t="s">
        <v>1701</v>
      </c>
      <c r="M63" s="2580" t="s">
        <v>2197</v>
      </c>
      <c r="O63" s="2092" t="s">
        <v>1739</v>
      </c>
      <c r="P63" s="2090" t="s">
        <v>1747</v>
      </c>
      <c r="Q63" s="2091">
        <f ca="1">L60</f>
        <v>0</v>
      </c>
      <c r="R63" s="2094" t="s">
        <v>1748</v>
      </c>
    </row>
    <row r="64" spans="1:18" s="1782" customFormat="1" ht="15.75" thickBot="1">
      <c r="A64" s="1818"/>
      <c r="B64" s="1819"/>
      <c r="C64" s="1819"/>
      <c r="I64" s="2578" t="s">
        <v>1721</v>
      </c>
      <c r="J64" s="2579">
        <v>70</v>
      </c>
      <c r="K64" s="2579">
        <v>50</v>
      </c>
      <c r="L64" s="2579">
        <v>80</v>
      </c>
      <c r="M64" s="2581">
        <v>0.02</v>
      </c>
      <c r="O64" s="2089" t="s">
        <v>1742</v>
      </c>
      <c r="P64" s="2090" t="s">
        <v>1759</v>
      </c>
      <c r="Q64" s="2091" t="e">
        <f ca="1">Q58+Q59</f>
        <v>#DIV/0!</v>
      </c>
      <c r="R64" s="2094" t="s">
        <v>1743</v>
      </c>
    </row>
    <row r="65" spans="1:18" s="1782" customFormat="1" ht="16.5" thickBot="1">
      <c r="A65" s="1818"/>
      <c r="B65" s="1819"/>
      <c r="C65" s="1819"/>
      <c r="I65" s="2578" t="s">
        <v>1722</v>
      </c>
      <c r="J65" s="2579">
        <v>50</v>
      </c>
      <c r="K65" s="2579">
        <v>35</v>
      </c>
      <c r="L65" s="2579">
        <v>60</v>
      </c>
      <c r="M65" s="811">
        <v>0</v>
      </c>
      <c r="O65" s="2095" t="s">
        <v>1766</v>
      </c>
      <c r="P65" s="1404"/>
      <c r="Q65" s="1412"/>
      <c r="R65" s="1404"/>
    </row>
    <row r="66" spans="1:18" s="1782" customFormat="1" ht="15.75" thickBot="1">
      <c r="A66" s="1818"/>
      <c r="B66" s="1819"/>
      <c r="C66" s="1819"/>
      <c r="I66" s="2578" t="s">
        <v>1723</v>
      </c>
      <c r="J66" s="2579">
        <v>40</v>
      </c>
      <c r="K66" s="2579">
        <v>30</v>
      </c>
      <c r="L66" s="2579">
        <v>50</v>
      </c>
      <c r="M66" s="2581">
        <v>0.02</v>
      </c>
      <c r="O66" s="2086" t="s">
        <v>1726</v>
      </c>
      <c r="P66" s="2087" t="s">
        <v>1727</v>
      </c>
      <c r="Q66" s="2088" t="s">
        <v>1728</v>
      </c>
      <c r="R66" s="2087" t="s">
        <v>1729</v>
      </c>
    </row>
    <row r="67" spans="1:18" s="1782" customFormat="1" ht="15.75" thickBot="1">
      <c r="A67" s="1818"/>
      <c r="B67" s="1819"/>
      <c r="C67" s="1819"/>
      <c r="K67" s="1808"/>
      <c r="O67" s="2089" t="s">
        <v>1730</v>
      </c>
      <c r="P67" s="2090" t="s">
        <v>1756</v>
      </c>
      <c r="Q67" s="2091">
        <f ca="1">C41+J31</f>
        <v>0</v>
      </c>
      <c r="R67" s="2090" t="s">
        <v>1731</v>
      </c>
    </row>
    <row r="68" spans="1:18" s="1782" customFormat="1" ht="20.25" thickBot="1">
      <c r="A68" s="1818"/>
      <c r="B68" s="1819"/>
      <c r="C68" s="1819"/>
      <c r="K68" s="1808"/>
      <c r="O68" s="2089" t="s">
        <v>1732</v>
      </c>
      <c r="P68" s="2090" t="s">
        <v>1763</v>
      </c>
      <c r="Q68" s="2091" t="e">
        <f ca="1">L61</f>
        <v>#DIV/0!</v>
      </c>
      <c r="R68" s="2094" t="s">
        <v>1765</v>
      </c>
    </row>
    <row r="69" spans="1:18" s="1782" customFormat="1" ht="21.75" thickBot="1">
      <c r="A69" s="1818"/>
      <c r="B69" s="1819"/>
      <c r="C69" s="1819"/>
      <c r="K69" s="1808"/>
      <c r="O69" s="2092" t="s">
        <v>1734</v>
      </c>
      <c r="P69" s="2090" t="s">
        <v>1764</v>
      </c>
      <c r="Q69" s="2096">
        <f ca="1">L52</f>
        <v>0</v>
      </c>
      <c r="R69" s="2097" t="s">
        <v>1767</v>
      </c>
    </row>
    <row r="70" spans="1:18" s="1782" customFormat="1" ht="20.25" thickBot="1">
      <c r="A70" s="1818"/>
      <c r="B70" s="1819"/>
      <c r="C70" s="1819"/>
      <c r="K70" s="1808"/>
      <c r="O70" s="2092" t="s">
        <v>1735</v>
      </c>
      <c r="P70" s="2098" t="s">
        <v>1749</v>
      </c>
      <c r="Q70" s="2091">
        <f ca="1">ROUND(Q71-Q72*Q73,0)</f>
        <v>0</v>
      </c>
      <c r="R70" s="2094"/>
    </row>
    <row r="71" spans="1:18" s="1782" customFormat="1" ht="15.75" thickBot="1">
      <c r="A71" s="1818"/>
      <c r="B71" s="1819"/>
      <c r="C71" s="1819"/>
      <c r="K71" s="1808"/>
      <c r="O71" s="2092" t="s">
        <v>1750</v>
      </c>
      <c r="P71" s="2098" t="s">
        <v>1751</v>
      </c>
      <c r="Q71" s="2091">
        <f ca="1">C42</f>
        <v>0</v>
      </c>
      <c r="R71" s="2090" t="s">
        <v>1731</v>
      </c>
    </row>
    <row r="72" spans="1:18" s="1782" customFormat="1" ht="15.75" thickBot="1">
      <c r="A72" s="1818"/>
      <c r="B72" s="1819"/>
      <c r="C72" s="1819"/>
      <c r="K72" s="1808"/>
      <c r="O72" s="2092" t="s">
        <v>1752</v>
      </c>
      <c r="P72" s="2098" t="s">
        <v>1753</v>
      </c>
      <c r="Q72" s="2091">
        <f ca="1">C15</f>
        <v>0</v>
      </c>
      <c r="R72" s="2090" t="s">
        <v>1731</v>
      </c>
    </row>
    <row r="73" spans="1:18" s="1782" customFormat="1" ht="15.75" thickBot="1">
      <c r="A73" s="1818"/>
      <c r="B73" s="1819"/>
      <c r="C73" s="1819"/>
      <c r="K73" s="1808"/>
      <c r="O73" s="2092" t="s">
        <v>1754</v>
      </c>
      <c r="P73" s="2098" t="s">
        <v>1755</v>
      </c>
      <c r="Q73" s="2093">
        <f ca="1">F43</f>
        <v>0</v>
      </c>
      <c r="R73" s="2094"/>
    </row>
    <row r="74" spans="1:18" s="1782" customFormat="1" ht="15.75" thickBot="1">
      <c r="A74" s="1818"/>
      <c r="B74" s="1819"/>
      <c r="C74" s="1819"/>
      <c r="K74" s="1808"/>
      <c r="O74" s="2092" t="s">
        <v>1737</v>
      </c>
      <c r="P74" s="2090" t="s">
        <v>1744</v>
      </c>
      <c r="Q74" s="2093">
        <f>L53</f>
        <v>0</v>
      </c>
      <c r="R74" s="2094"/>
    </row>
    <row r="75" spans="1:18" s="1782" customFormat="1" ht="20.25" thickBot="1">
      <c r="A75" s="1818"/>
      <c r="B75" s="1819"/>
      <c r="C75" s="1819"/>
      <c r="K75" s="1808"/>
      <c r="O75" s="2092" t="s">
        <v>1739</v>
      </c>
      <c r="P75" s="2090" t="s">
        <v>1745</v>
      </c>
      <c r="Q75" s="2091">
        <f ca="1">L59</f>
        <v>0</v>
      </c>
      <c r="R75" s="2094" t="s">
        <v>1746</v>
      </c>
    </row>
    <row r="76" spans="1:18" s="1782" customFormat="1" ht="20.25" thickBot="1">
      <c r="A76" s="1818"/>
      <c r="B76" s="1819"/>
      <c r="C76" s="1819"/>
      <c r="K76" s="1808"/>
      <c r="O76" s="2092" t="s">
        <v>1768</v>
      </c>
      <c r="P76" s="2090" t="s">
        <v>1747</v>
      </c>
      <c r="Q76" s="2091">
        <f ca="1">L60</f>
        <v>0</v>
      </c>
      <c r="R76" s="2094" t="s">
        <v>1748</v>
      </c>
    </row>
    <row r="77" spans="1:18" s="1782" customFormat="1" ht="15.75" thickBot="1">
      <c r="A77" s="1818"/>
      <c r="B77" s="1819"/>
      <c r="C77" s="1819"/>
      <c r="K77" s="1808"/>
      <c r="O77" s="2089" t="s">
        <v>1742</v>
      </c>
      <c r="P77" s="2090" t="s">
        <v>1759</v>
      </c>
      <c r="Q77" s="2091" t="e">
        <f ca="1">Q67+Q68</f>
        <v>#DIV/0!</v>
      </c>
      <c r="R77" s="2094" t="s">
        <v>1743</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2435</v>
      </c>
      <c r="B1" s="3057"/>
      <c r="C1" s="3070"/>
      <c r="D1" s="3070"/>
      <c r="E1" s="3058"/>
      <c r="F1" s="3059"/>
      <c r="G1" s="3060"/>
      <c r="J1" s="3063" t="s">
        <v>2292</v>
      </c>
      <c r="K1" s="3064"/>
      <c r="L1" s="3064"/>
      <c r="M1" s="3064"/>
      <c r="N1" s="3064"/>
      <c r="O1" s="3064"/>
      <c r="P1" s="3064"/>
      <c r="Q1" s="3064"/>
      <c r="R1" s="3065"/>
      <c r="S1" s="3066"/>
      <c r="T1" s="3066"/>
      <c r="U1" s="3066"/>
    </row>
    <row r="2" spans="1:22" s="3079" customFormat="1" ht="13.15" customHeight="1">
      <c r="A2" s="3068" t="s">
        <v>2293</v>
      </c>
      <c r="B2" s="3069" t="e">
        <f>C40</f>
        <v>#DIV/0!</v>
      </c>
      <c r="C2" s="3070" t="s">
        <v>2294</v>
      </c>
      <c r="D2" s="3070"/>
      <c r="E2" s="3071"/>
      <c r="F2" s="3072"/>
      <c r="G2" s="3073"/>
      <c r="H2" s="3074"/>
      <c r="I2" s="3075"/>
      <c r="J2" s="4018" t="s">
        <v>2295</v>
      </c>
      <c r="K2" s="4019"/>
      <c r="L2" s="3076" t="s">
        <v>2296</v>
      </c>
      <c r="M2" s="3076" t="s">
        <v>2297</v>
      </c>
      <c r="N2" s="3076" t="s">
        <v>2298</v>
      </c>
      <c r="O2" s="3076" t="s">
        <v>2299</v>
      </c>
      <c r="P2" s="3076" t="s">
        <v>2300</v>
      </c>
      <c r="Q2" s="3077" t="s">
        <v>2301</v>
      </c>
      <c r="R2" s="3078" t="s">
        <v>2302</v>
      </c>
      <c r="S2" s="3066"/>
      <c r="T2" s="3066"/>
      <c r="U2" s="3066"/>
      <c r="V2" s="3075"/>
    </row>
    <row r="3" spans="1:22" s="3079" customFormat="1" ht="13.15" customHeight="1">
      <c r="A3" s="3080" t="s">
        <v>2303</v>
      </c>
      <c r="B3" s="3081" t="e">
        <f>ROUND(B2*10000/B4,0)</f>
        <v>#DIV/0!</v>
      </c>
      <c r="C3" s="3070" t="s">
        <v>2304</v>
      </c>
      <c r="D3" s="3070"/>
      <c r="E3" s="3071"/>
      <c r="F3" s="3072"/>
      <c r="G3" s="3073"/>
      <c r="H3" s="3074"/>
      <c r="I3" s="3075"/>
      <c r="J3" s="4020" t="s">
        <v>2305</v>
      </c>
      <c r="K3" s="4021"/>
      <c r="L3" s="3082"/>
      <c r="M3" s="3082"/>
      <c r="N3" s="3082"/>
      <c r="O3" s="3082"/>
      <c r="P3" s="3082"/>
      <c r="Q3" s="3083"/>
      <c r="R3" s="3084">
        <f>SUM(L3:Q3)</f>
        <v>0</v>
      </c>
      <c r="S3" s="3066"/>
      <c r="T3" s="3066"/>
      <c r="U3" s="3066"/>
      <c r="V3" s="3075"/>
    </row>
    <row r="4" spans="1:22" s="3079" customFormat="1" ht="13.15" customHeight="1">
      <c r="A4" s="3085" t="s">
        <v>2306</v>
      </c>
      <c r="B4" s="3086"/>
      <c r="C4" s="3070"/>
      <c r="D4" s="3070"/>
      <c r="E4" s="3071"/>
      <c r="F4" s="3072"/>
      <c r="G4" s="3073"/>
      <c r="H4" s="3074"/>
      <c r="I4" s="3075"/>
      <c r="J4" s="4020" t="s">
        <v>2307</v>
      </c>
      <c r="K4" s="4021"/>
      <c r="L4" s="3087"/>
      <c r="M4" s="3087"/>
      <c r="N4" s="3087"/>
      <c r="O4" s="3087"/>
      <c r="P4" s="3087"/>
      <c r="Q4" s="3088"/>
      <c r="R4" s="3089">
        <f>SUM(L4:Q4)</f>
        <v>0</v>
      </c>
      <c r="S4" s="3066"/>
      <c r="T4" s="3066"/>
      <c r="U4" s="3066"/>
      <c r="V4" s="3075"/>
    </row>
    <row r="5" spans="1:22" s="3079" customFormat="1" ht="13.15" customHeight="1" thickBot="1">
      <c r="A5" s="3090" t="s">
        <v>2308</v>
      </c>
      <c r="B5" s="3091"/>
      <c r="C5" s="3070"/>
      <c r="D5" s="3092"/>
      <c r="E5" s="3072"/>
      <c r="F5" s="3072"/>
      <c r="G5" s="3073"/>
      <c r="H5" s="3074"/>
      <c r="I5" s="3075"/>
      <c r="J5" s="3093" t="s">
        <v>2309</v>
      </c>
      <c r="K5" s="3094"/>
      <c r="L5" s="3094"/>
      <c r="M5" s="3095"/>
      <c r="N5" s="3095"/>
      <c r="O5" s="3095"/>
      <c r="P5" s="3095"/>
      <c r="Q5" s="3095"/>
      <c r="R5" s="3078">
        <f>SUM(R14,R19,R24,R25,R27,R28)</f>
        <v>0</v>
      </c>
      <c r="S5" s="3066"/>
      <c r="T5" s="3066" t="s">
        <v>2310</v>
      </c>
      <c r="U5" s="3066" t="e">
        <f>ROUND(R5*10000/365/R3,1)</f>
        <v>#DIV/0!</v>
      </c>
      <c r="V5" s="3075"/>
    </row>
    <row r="6" spans="1:22" s="3079" customFormat="1" ht="13.15" customHeight="1" thickBot="1">
      <c r="A6" s="4026" t="s">
        <v>2311</v>
      </c>
      <c r="B6" s="4027"/>
      <c r="C6" s="4028"/>
      <c r="D6" s="3096"/>
      <c r="E6" s="3097"/>
      <c r="F6" s="3098"/>
      <c r="G6" s="3099"/>
      <c r="H6" s="3074"/>
      <c r="I6" s="3075"/>
      <c r="J6" s="4012">
        <v>1</v>
      </c>
      <c r="K6" s="4013" t="s">
        <v>2312</v>
      </c>
      <c r="L6" s="3100" t="s">
        <v>2313</v>
      </c>
      <c r="M6" s="3101" t="s">
        <v>2314</v>
      </c>
      <c r="N6" s="3101" t="s">
        <v>2315</v>
      </c>
      <c r="O6" s="3101" t="s">
        <v>2316</v>
      </c>
      <c r="P6" s="3101" t="s">
        <v>2317</v>
      </c>
      <c r="Q6" s="3101" t="s">
        <v>2318</v>
      </c>
      <c r="R6" s="3084" t="s">
        <v>2319</v>
      </c>
      <c r="S6" s="3066"/>
      <c r="T6" s="3066" t="s">
        <v>2320</v>
      </c>
      <c r="U6" s="3066"/>
      <c r="V6" s="3075"/>
    </row>
    <row r="7" spans="1:22" s="3079" customFormat="1" ht="13.15" customHeight="1">
      <c r="A7" s="3102" t="s">
        <v>2321</v>
      </c>
      <c r="B7" s="3103"/>
      <c r="C7" s="3104"/>
      <c r="D7" s="3105">
        <f>SUM(D9,D10,D11,D17,0)</f>
        <v>0</v>
      </c>
      <c r="E7" s="3106" t="e">
        <f>E9+E10+E11+E17</f>
        <v>#DIV/0!</v>
      </c>
      <c r="F7" s="3107"/>
      <c r="G7" s="3108"/>
      <c r="H7" s="3074"/>
      <c r="I7" s="3075"/>
      <c r="J7" s="4012"/>
      <c r="K7" s="4014"/>
      <c r="L7" s="3109" t="s">
        <v>2322</v>
      </c>
      <c r="M7" s="3110"/>
      <c r="N7" s="3086"/>
      <c r="O7" s="3111"/>
      <c r="P7" s="3111"/>
      <c r="Q7" s="3112">
        <v>365</v>
      </c>
      <c r="R7" s="3113">
        <f>ROUND(M7*N7*O7*P7*Q7/10000,0)</f>
        <v>0</v>
      </c>
      <c r="S7" s="3066"/>
      <c r="T7" s="3066" t="s">
        <v>2323</v>
      </c>
      <c r="U7" s="3066"/>
      <c r="V7" s="3075"/>
    </row>
    <row r="8" spans="1:22" s="3079" customFormat="1" ht="13.15" customHeight="1">
      <c r="A8" s="3114" t="s">
        <v>2324</v>
      </c>
      <c r="B8" s="4029" t="s">
        <v>2325</v>
      </c>
      <c r="C8" s="4030"/>
      <c r="D8" s="3115" t="s">
        <v>2326</v>
      </c>
      <c r="E8" s="3116" t="s">
        <v>2327</v>
      </c>
      <c r="F8" s="3117" t="s">
        <v>2328</v>
      </c>
      <c r="G8" s="3118"/>
      <c r="H8" s="3074"/>
      <c r="I8" s="3075"/>
      <c r="J8" s="4012"/>
      <c r="K8" s="4014"/>
      <c r="L8" s="3109" t="s">
        <v>2329</v>
      </c>
      <c r="M8" s="3110"/>
      <c r="N8" s="3086"/>
      <c r="O8" s="3111"/>
      <c r="P8" s="3111"/>
      <c r="Q8" s="3112">
        <v>365</v>
      </c>
      <c r="R8" s="3113">
        <f t="shared" ref="R8:R13" si="0">ROUND(M8*N8*O8*P8*Q8/10000,0)</f>
        <v>0</v>
      </c>
      <c r="S8" s="3066"/>
      <c r="T8" s="3066" t="s">
        <v>2330</v>
      </c>
      <c r="U8" s="3066"/>
      <c r="V8" s="3075"/>
    </row>
    <row r="9" spans="1:22" s="3079" customFormat="1" ht="13.15" customHeight="1">
      <c r="A9" s="3114">
        <v>1</v>
      </c>
      <c r="B9" s="4029" t="s">
        <v>2331</v>
      </c>
      <c r="C9" s="4030"/>
      <c r="D9" s="3115">
        <f>ROUND(D6*E9,0)</f>
        <v>0</v>
      </c>
      <c r="E9" s="3119"/>
      <c r="F9" s="3120" t="s">
        <v>2332</v>
      </c>
      <c r="G9" s="3099"/>
      <c r="H9" s="3074"/>
      <c r="I9" s="3075"/>
      <c r="J9" s="4012"/>
      <c r="K9" s="4014"/>
      <c r="L9" s="3109" t="s">
        <v>2333</v>
      </c>
      <c r="M9" s="3110"/>
      <c r="N9" s="3086"/>
      <c r="O9" s="3111"/>
      <c r="P9" s="3111"/>
      <c r="Q9" s="3112">
        <v>365</v>
      </c>
      <c r="R9" s="3113">
        <f t="shared" si="0"/>
        <v>0</v>
      </c>
      <c r="S9" s="3066"/>
      <c r="T9" s="3066"/>
      <c r="U9" s="3066"/>
      <c r="V9" s="3075"/>
    </row>
    <row r="10" spans="1:22" s="3079" customFormat="1" ht="13.15" customHeight="1">
      <c r="A10" s="3114">
        <v>2</v>
      </c>
      <c r="B10" s="4029" t="s">
        <v>2334</v>
      </c>
      <c r="C10" s="4030"/>
      <c r="D10" s="3115">
        <f>ROUND(D6*E10,0)</f>
        <v>0</v>
      </c>
      <c r="E10" s="3119"/>
      <c r="F10" s="3120" t="s">
        <v>2335</v>
      </c>
      <c r="G10" s="3099"/>
      <c r="H10" s="3074"/>
      <c r="I10" s="3075"/>
      <c r="J10" s="4012"/>
      <c r="K10" s="4014"/>
      <c r="L10" s="3109" t="s">
        <v>2336</v>
      </c>
      <c r="M10" s="3110"/>
      <c r="N10" s="3086"/>
      <c r="O10" s="3111"/>
      <c r="P10" s="3111"/>
      <c r="Q10" s="3112">
        <v>365</v>
      </c>
      <c r="R10" s="3113">
        <f t="shared" si="0"/>
        <v>0</v>
      </c>
      <c r="S10" s="3066"/>
      <c r="T10" s="3066"/>
      <c r="U10" s="3066"/>
      <c r="V10" s="3075"/>
    </row>
    <row r="11" spans="1:22" s="3079" customFormat="1" ht="13.15" customHeight="1">
      <c r="A11" s="3114">
        <v>3</v>
      </c>
      <c r="B11" s="4029" t="s">
        <v>2337</v>
      </c>
      <c r="C11" s="4030"/>
      <c r="D11" s="3115">
        <f>D12+D14+D15+D16</f>
        <v>0</v>
      </c>
      <c r="E11" s="3121" t="e">
        <f>D11/D6</f>
        <v>#DIV/0!</v>
      </c>
      <c r="F11" s="3117"/>
      <c r="G11" s="3118"/>
      <c r="H11" s="3074"/>
      <c r="I11" s="3075"/>
      <c r="J11" s="4012"/>
      <c r="K11" s="4014"/>
      <c r="L11" s="3109" t="s">
        <v>2338</v>
      </c>
      <c r="M11" s="3110"/>
      <c r="N11" s="3086"/>
      <c r="O11" s="3111"/>
      <c r="P11" s="3111"/>
      <c r="Q11" s="3112">
        <v>365</v>
      </c>
      <c r="R11" s="3113">
        <f t="shared" si="0"/>
        <v>0</v>
      </c>
      <c r="S11" s="3066"/>
      <c r="T11" s="3066"/>
      <c r="U11" s="3066"/>
      <c r="V11" s="3075"/>
    </row>
    <row r="12" spans="1:22" s="3079" customFormat="1" ht="13.15" customHeight="1">
      <c r="A12" s="3122" t="s">
        <v>2339</v>
      </c>
      <c r="B12" s="4022" t="s">
        <v>2340</v>
      </c>
      <c r="C12" s="4023"/>
      <c r="D12" s="3123">
        <f>ROUND(D13*1.2%*(1-30%),0)</f>
        <v>0</v>
      </c>
      <c r="E12" s="3124">
        <v>1.2E-2</v>
      </c>
      <c r="F12" s="3117" t="s">
        <v>2341</v>
      </c>
      <c r="G12" s="3118"/>
      <c r="H12" s="3074"/>
      <c r="I12" s="3075"/>
      <c r="J12" s="4012"/>
      <c r="K12" s="4014"/>
      <c r="L12" s="3109" t="s">
        <v>2342</v>
      </c>
      <c r="M12" s="3110"/>
      <c r="N12" s="3086"/>
      <c r="O12" s="3111"/>
      <c r="P12" s="3111"/>
      <c r="Q12" s="3112">
        <v>365</v>
      </c>
      <c r="R12" s="3113">
        <f t="shared" si="0"/>
        <v>0</v>
      </c>
      <c r="S12" s="3066"/>
      <c r="T12" s="3066"/>
      <c r="U12" s="3066"/>
      <c r="V12" s="3075"/>
    </row>
    <row r="13" spans="1:22" s="3079" customFormat="1" ht="13.15" customHeight="1">
      <c r="A13" s="3122"/>
      <c r="B13" s="3125"/>
      <c r="C13" s="3126" t="s">
        <v>2343</v>
      </c>
      <c r="D13" s="3127"/>
      <c r="E13" s="3128"/>
      <c r="F13" s="3117"/>
      <c r="G13" s="3118"/>
      <c r="H13" s="3074"/>
      <c r="I13" s="3075"/>
      <c r="J13" s="4012"/>
      <c r="K13" s="4014"/>
      <c r="L13" s="3109" t="s">
        <v>2344</v>
      </c>
      <c r="M13" s="3110"/>
      <c r="N13" s="3086"/>
      <c r="O13" s="3111"/>
      <c r="P13" s="3111"/>
      <c r="Q13" s="3112">
        <v>365</v>
      </c>
      <c r="R13" s="3113">
        <f t="shared" si="0"/>
        <v>0</v>
      </c>
      <c r="S13" s="3066"/>
      <c r="T13" s="3066"/>
      <c r="U13" s="3066"/>
      <c r="V13" s="3075"/>
    </row>
    <row r="14" spans="1:22" s="3079" customFormat="1" ht="13.15" customHeight="1">
      <c r="A14" s="3122" t="s">
        <v>2345</v>
      </c>
      <c r="B14" s="4022" t="s">
        <v>2346</v>
      </c>
      <c r="C14" s="4023"/>
      <c r="D14" s="3123">
        <f>ROUND(E14*B5/10000,0)</f>
        <v>0</v>
      </c>
      <c r="E14" s="3112"/>
      <c r="F14" s="3117" t="s">
        <v>2347</v>
      </c>
      <c r="G14" s="3118"/>
      <c r="H14" s="3074"/>
      <c r="I14" s="3075"/>
      <c r="J14" s="4012"/>
      <c r="K14" s="4015"/>
      <c r="L14" s="3129" t="s">
        <v>2348</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2349</v>
      </c>
      <c r="B15" s="4022" t="s">
        <v>2350</v>
      </c>
      <c r="C15" s="4023"/>
      <c r="D15" s="3123">
        <f>ROUND(D6*E15,0)</f>
        <v>0</v>
      </c>
      <c r="E15" s="3124">
        <v>5.5E-2</v>
      </c>
      <c r="F15" s="3117" t="s">
        <v>2351</v>
      </c>
      <c r="G15" s="3099"/>
      <c r="H15" s="3074"/>
      <c r="I15" s="3075"/>
      <c r="J15" s="4012">
        <v>2</v>
      </c>
      <c r="K15" s="4013" t="s">
        <v>2352</v>
      </c>
      <c r="L15" s="3109" t="s">
        <v>2353</v>
      </c>
      <c r="M15" s="3110" t="s">
        <v>2354</v>
      </c>
      <c r="N15" s="3110" t="s">
        <v>2355</v>
      </c>
      <c r="O15" s="3111" t="s">
        <v>2356</v>
      </c>
      <c r="P15" s="3111" t="s">
        <v>2357</v>
      </c>
      <c r="Q15" s="3086" t="s">
        <v>2358</v>
      </c>
      <c r="R15" s="3133" t="s">
        <v>2359</v>
      </c>
      <c r="S15" s="3066"/>
      <c r="T15" s="3066"/>
      <c r="U15" s="3066"/>
      <c r="V15" s="3075"/>
    </row>
    <row r="16" spans="1:22" s="3079" customFormat="1" ht="13.15" customHeight="1">
      <c r="A16" s="3122" t="s">
        <v>2360</v>
      </c>
      <c r="B16" s="4022" t="s">
        <v>2361</v>
      </c>
      <c r="C16" s="4023"/>
      <c r="D16" s="3134">
        <f>D6*E16</f>
        <v>0</v>
      </c>
      <c r="E16" s="3135"/>
      <c r="F16" s="3120" t="s">
        <v>2362</v>
      </c>
      <c r="G16" s="3099"/>
      <c r="H16" s="3074"/>
      <c r="I16" s="3075"/>
      <c r="J16" s="4012"/>
      <c r="K16" s="4014"/>
      <c r="L16" s="3109" t="s">
        <v>2363</v>
      </c>
      <c r="M16" s="3110"/>
      <c r="N16" s="3110"/>
      <c r="O16" s="3111"/>
      <c r="P16" s="3112">
        <v>365</v>
      </c>
      <c r="Q16" s="3086"/>
      <c r="R16" s="3133">
        <f>ROUND(M16*N16*O16*P16/10000,0)</f>
        <v>0</v>
      </c>
      <c r="S16" s="3066"/>
      <c r="T16" s="3066"/>
      <c r="U16" s="3066"/>
      <c r="V16" s="3075"/>
    </row>
    <row r="17" spans="1:22" s="3079" customFormat="1" ht="13.15" customHeight="1" thickBot="1">
      <c r="A17" s="3136">
        <v>4</v>
      </c>
      <c r="B17" s="4024" t="s">
        <v>2364</v>
      </c>
      <c r="C17" s="4025"/>
      <c r="D17" s="3137">
        <f>ROUND(D6*E17,0)</f>
        <v>0</v>
      </c>
      <c r="E17" s="3138"/>
      <c r="F17" s="3139" t="s">
        <v>2365</v>
      </c>
      <c r="G17" s="3099"/>
      <c r="H17" s="3074"/>
      <c r="I17" s="3075"/>
      <c r="J17" s="4012"/>
      <c r="K17" s="4014"/>
      <c r="L17" s="3109" t="s">
        <v>2366</v>
      </c>
      <c r="M17" s="3110"/>
      <c r="N17" s="3110"/>
      <c r="O17" s="3111"/>
      <c r="P17" s="3112">
        <v>365</v>
      </c>
      <c r="Q17" s="3086"/>
      <c r="R17" s="3133">
        <f>ROUND(M17*N17*O17*P17/10000,0)</f>
        <v>0</v>
      </c>
      <c r="S17" s="3066"/>
      <c r="T17" s="3066"/>
      <c r="U17" s="3066"/>
      <c r="V17" s="3075"/>
    </row>
    <row r="18" spans="1:22" s="3079" customFormat="1" ht="13.15" customHeight="1" thickBot="1">
      <c r="A18" s="3102" t="s">
        <v>2367</v>
      </c>
      <c r="B18" s="3103"/>
      <c r="C18" s="3103"/>
      <c r="D18" s="3140">
        <f>ROUND(D6*E18,0)</f>
        <v>0</v>
      </c>
      <c r="E18" s="3141"/>
      <c r="F18" s="3142" t="s">
        <v>2368</v>
      </c>
      <c r="G18" s="3099"/>
      <c r="H18" s="3074"/>
      <c r="I18" s="3075"/>
      <c r="J18" s="4012"/>
      <c r="K18" s="4014"/>
      <c r="L18" s="3109" t="s">
        <v>2369</v>
      </c>
      <c r="M18" s="3110"/>
      <c r="N18" s="3110"/>
      <c r="O18" s="3111"/>
      <c r="P18" s="3112">
        <v>365</v>
      </c>
      <c r="Q18" s="3086"/>
      <c r="R18" s="3133">
        <f>ROUND(M18*N18*O18*P18/10000,0)</f>
        <v>0</v>
      </c>
      <c r="S18" s="3066"/>
      <c r="T18" s="3066"/>
      <c r="U18" s="3066"/>
      <c r="V18" s="3075"/>
    </row>
    <row r="19" spans="1:22" s="3079" customFormat="1" ht="13.15" customHeight="1" thickBot="1">
      <c r="A19" s="3143" t="s">
        <v>2370</v>
      </c>
      <c r="B19" s="3097"/>
      <c r="C19" s="3097"/>
      <c r="D19" s="3097"/>
      <c r="E19" s="3097"/>
      <c r="F19" s="3098"/>
      <c r="G19" s="3118"/>
      <c r="H19" s="3074"/>
      <c r="I19" s="3075"/>
      <c r="J19" s="4012"/>
      <c r="K19" s="4015"/>
      <c r="L19" s="3129" t="s">
        <v>2348</v>
      </c>
      <c r="M19" s="3130"/>
      <c r="N19" s="3130">
        <f>SUM(N16:N18)</f>
        <v>0</v>
      </c>
      <c r="O19" s="3131"/>
      <c r="P19" s="3144" t="s">
        <v>2436</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12">
        <v>3</v>
      </c>
      <c r="K20" s="4013" t="s">
        <v>2371</v>
      </c>
      <c r="L20" s="3109" t="s">
        <v>2372</v>
      </c>
      <c r="M20" s="3110" t="s">
        <v>2373</v>
      </c>
      <c r="N20" s="3147" t="s">
        <v>2374</v>
      </c>
      <c r="O20" s="3111" t="s">
        <v>2375</v>
      </c>
      <c r="P20" s="3112" t="s">
        <v>2376</v>
      </c>
      <c r="Q20" s="3086" t="s">
        <v>2377</v>
      </c>
      <c r="R20" s="3133" t="s">
        <v>2319</v>
      </c>
      <c r="S20" s="3148"/>
      <c r="T20" s="3148"/>
      <c r="U20" s="3148"/>
      <c r="V20" s="3075"/>
    </row>
    <row r="21" spans="1:22" s="3079" customFormat="1" ht="13.15" customHeight="1">
      <c r="A21" s="3102"/>
      <c r="B21" s="3103"/>
      <c r="C21" s="3149" t="s">
        <v>2378</v>
      </c>
      <c r="D21" s="3150" t="s">
        <v>2379</v>
      </c>
      <c r="E21" s="3151" t="s">
        <v>2380</v>
      </c>
      <c r="F21" s="3146"/>
      <c r="G21" s="3118"/>
      <c r="H21" s="3074"/>
      <c r="I21" s="3075"/>
      <c r="J21" s="4012"/>
      <c r="K21" s="4014"/>
      <c r="L21" s="3109" t="s">
        <v>2381</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2382</v>
      </c>
      <c r="D22" s="3154" t="s">
        <v>2383</v>
      </c>
      <c r="E22" s="3155" t="s">
        <v>2384</v>
      </c>
      <c r="F22" s="3146"/>
      <c r="G22" s="3156"/>
      <c r="H22" s="3074"/>
      <c r="I22" s="3075"/>
      <c r="J22" s="4012"/>
      <c r="K22" s="4014"/>
      <c r="L22" s="3109" t="s">
        <v>2385</v>
      </c>
      <c r="M22" s="3110"/>
      <c r="N22" s="3110"/>
      <c r="O22" s="3111"/>
      <c r="P22" s="3112">
        <v>365</v>
      </c>
      <c r="Q22" s="3086"/>
      <c r="R22" s="3152">
        <f>ROUND(M22*N22*O22*P22/10000,0)</f>
        <v>0</v>
      </c>
      <c r="S22" s="3148"/>
      <c r="T22" s="3148"/>
      <c r="U22" s="3148"/>
      <c r="V22" s="3075"/>
    </row>
    <row r="23" spans="1:22" s="3079" customFormat="1" ht="13.15" customHeight="1">
      <c r="A23" s="3157">
        <v>1</v>
      </c>
      <c r="B23" s="3158" t="s">
        <v>2386</v>
      </c>
      <c r="C23" s="3159">
        <f>D6</f>
        <v>0</v>
      </c>
      <c r="D23" s="3160">
        <f>C23*(1+D24)</f>
        <v>0</v>
      </c>
      <c r="E23" s="3161">
        <f>D23*(1+E24)</f>
        <v>0</v>
      </c>
      <c r="F23" s="3162"/>
      <c r="G23" s="3163"/>
      <c r="H23" s="3074"/>
      <c r="I23" s="3075"/>
      <c r="J23" s="4012"/>
      <c r="K23" s="4014"/>
      <c r="L23" s="3109" t="s">
        <v>2387</v>
      </c>
      <c r="M23" s="3110"/>
      <c r="N23" s="3110"/>
      <c r="O23" s="3111"/>
      <c r="P23" s="3112">
        <v>365</v>
      </c>
      <c r="Q23" s="3086"/>
      <c r="R23" s="3152">
        <f>ROUND(M23*N23*O23*P23/10000,0)</f>
        <v>0</v>
      </c>
      <c r="S23" s="3066"/>
      <c r="T23" s="3066"/>
      <c r="U23" s="3066"/>
      <c r="V23" s="3075"/>
    </row>
    <row r="24" spans="1:22" s="3079" customFormat="1" ht="13.15" customHeight="1">
      <c r="A24" s="3164"/>
      <c r="B24" s="3165" t="s">
        <v>2388</v>
      </c>
      <c r="C24" s="3166"/>
      <c r="D24" s="3167"/>
      <c r="E24" s="3168"/>
      <c r="F24" s="3169"/>
      <c r="G24" s="3163"/>
      <c r="H24" s="3074"/>
      <c r="I24" s="3075"/>
      <c r="J24" s="4012"/>
      <c r="K24" s="4015"/>
      <c r="L24" s="3129" t="s">
        <v>2348</v>
      </c>
      <c r="M24" s="3130">
        <f>SUM(M21:M23)</f>
        <v>0</v>
      </c>
      <c r="N24" s="3130"/>
      <c r="O24" s="3131"/>
      <c r="P24" s="3144" t="s">
        <v>2436</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2389</v>
      </c>
      <c r="L25" s="3172"/>
      <c r="M25" s="3172"/>
      <c r="N25" s="3172"/>
      <c r="O25" s="3172"/>
      <c r="P25" s="3173"/>
      <c r="Q25" s="3174"/>
      <c r="R25" s="3145">
        <f>ROUND(R14*Q25,0)</f>
        <v>0</v>
      </c>
      <c r="S25" s="3066"/>
      <c r="T25" s="3066"/>
      <c r="U25" s="3066"/>
      <c r="V25" s="3175"/>
    </row>
    <row r="26" spans="1:22" s="3176" customFormat="1" ht="13.15" customHeight="1">
      <c r="A26" s="3157">
        <v>2</v>
      </c>
      <c r="B26" s="3158" t="s">
        <v>2390</v>
      </c>
      <c r="C26" s="3159">
        <f>D7</f>
        <v>0</v>
      </c>
      <c r="D26" s="3160">
        <f>D23*D27</f>
        <v>0</v>
      </c>
      <c r="E26" s="3161">
        <f>E23*E27</f>
        <v>0</v>
      </c>
      <c r="F26" s="3162"/>
      <c r="G26" s="3163"/>
      <c r="H26" s="3074"/>
      <c r="I26" s="3075"/>
      <c r="J26" s="4016">
        <v>5</v>
      </c>
      <c r="K26" s="3177" t="s">
        <v>2391</v>
      </c>
      <c r="L26" s="3178"/>
      <c r="M26" s="3179"/>
      <c r="N26" s="3180" t="s">
        <v>2392</v>
      </c>
      <c r="O26" s="3180" t="s">
        <v>2393</v>
      </c>
      <c r="P26" s="3181" t="s">
        <v>2394</v>
      </c>
      <c r="Q26" s="3181" t="s">
        <v>2395</v>
      </c>
      <c r="R26" s="3084" t="s">
        <v>2396</v>
      </c>
      <c r="S26" s="3182"/>
      <c r="T26" s="3182"/>
      <c r="U26" s="3182"/>
      <c r="V26" s="3175"/>
    </row>
    <row r="27" spans="1:22" s="3079" customFormat="1" ht="13.15" customHeight="1">
      <c r="A27" s="3164"/>
      <c r="B27" s="3165" t="s">
        <v>2397</v>
      </c>
      <c r="C27" s="3183" t="e">
        <f>E7</f>
        <v>#DIV/0!</v>
      </c>
      <c r="D27" s="3167"/>
      <c r="E27" s="3168"/>
      <c r="F27" s="3169"/>
      <c r="G27" s="3163"/>
      <c r="H27" s="3184"/>
      <c r="I27" s="3175"/>
      <c r="J27" s="4017"/>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2398</v>
      </c>
      <c r="F28" s="3169"/>
      <c r="G28" s="3156"/>
      <c r="H28" s="3184"/>
      <c r="I28" s="3175"/>
      <c r="J28" s="3190">
        <v>6</v>
      </c>
      <c r="K28" s="3191" t="s">
        <v>2399</v>
      </c>
      <c r="L28" s="3192" t="s">
        <v>2400</v>
      </c>
      <c r="M28" s="3193"/>
      <c r="N28" s="3192" t="s">
        <v>2401</v>
      </c>
      <c r="O28" s="3194"/>
      <c r="P28" s="3192" t="s">
        <v>2402</v>
      </c>
      <c r="Q28" s="3195">
        <v>1.4999999999999999E-2</v>
      </c>
      <c r="R28" s="3196"/>
      <c r="S28" s="3148"/>
      <c r="T28" s="3148"/>
      <c r="U28" s="3148"/>
      <c r="V28" s="3175"/>
    </row>
    <row r="29" spans="1:22" s="3176" customFormat="1" ht="13.15" customHeight="1">
      <c r="A29" s="3157">
        <v>3</v>
      </c>
      <c r="B29" s="3158" t="s">
        <v>2403</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2404</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2405</v>
      </c>
      <c r="K31" s="3064"/>
      <c r="L31" s="3064"/>
      <c r="M31" s="3064"/>
      <c r="N31" s="3064"/>
      <c r="O31" s="3064"/>
      <c r="P31" s="3064"/>
      <c r="Q31" s="3064"/>
      <c r="R31" s="3065"/>
      <c r="S31" s="3148"/>
      <c r="T31" s="3066"/>
      <c r="U31" s="3066"/>
      <c r="V31" s="3175"/>
    </row>
    <row r="32" spans="1:22" s="3176" customFormat="1" ht="13.15" customHeight="1">
      <c r="A32" s="3157">
        <v>4</v>
      </c>
      <c r="B32" s="3158" t="s">
        <v>2406</v>
      </c>
      <c r="C32" s="3159">
        <f>C23-C26-C29</f>
        <v>0</v>
      </c>
      <c r="D32" s="3160">
        <f>D23-D26-D29</f>
        <v>0</v>
      </c>
      <c r="E32" s="3161">
        <f>E23-E26-E29</f>
        <v>0</v>
      </c>
      <c r="F32" s="3162"/>
      <c r="G32" s="3156"/>
      <c r="H32" s="3074"/>
      <c r="I32" s="3075"/>
      <c r="J32" s="4018" t="s">
        <v>2407</v>
      </c>
      <c r="K32" s="4019"/>
      <c r="L32" s="3076" t="s">
        <v>2408</v>
      </c>
      <c r="M32" s="3076" t="s">
        <v>2297</v>
      </c>
      <c r="N32" s="3076" t="s">
        <v>2298</v>
      </c>
      <c r="O32" s="3076" t="s">
        <v>2299</v>
      </c>
      <c r="P32" s="3076" t="s">
        <v>2300</v>
      </c>
      <c r="Q32" s="3077" t="s">
        <v>2409</v>
      </c>
      <c r="R32" s="3199" t="s">
        <v>2410</v>
      </c>
      <c r="S32" s="3148"/>
      <c r="T32" s="3066"/>
      <c r="U32" s="3066"/>
      <c r="V32" s="3175"/>
    </row>
    <row r="33" spans="1:23" s="3079" customFormat="1" ht="13.15" customHeight="1">
      <c r="A33" s="3157"/>
      <c r="B33" s="3158"/>
      <c r="C33" s="3159"/>
      <c r="D33" s="3200"/>
      <c r="E33" s="3201"/>
      <c r="F33" s="3162"/>
      <c r="G33" s="3156"/>
      <c r="H33" s="3184"/>
      <c r="I33" s="3175"/>
      <c r="J33" s="4020" t="s">
        <v>2411</v>
      </c>
      <c r="K33" s="4021"/>
      <c r="L33" s="3082"/>
      <c r="M33" s="3082"/>
      <c r="N33" s="3082"/>
      <c r="O33" s="3082"/>
      <c r="P33" s="3082"/>
      <c r="Q33" s="3083"/>
      <c r="R33" s="3202">
        <f>SUM(L33:Q33)</f>
        <v>0</v>
      </c>
      <c r="S33" s="3148"/>
      <c r="T33" s="3066"/>
      <c r="U33" s="3066"/>
      <c r="V33" s="3075"/>
    </row>
    <row r="34" spans="1:23" s="3079" customFormat="1" ht="13.15" customHeight="1">
      <c r="A34" s="3157">
        <v>5</v>
      </c>
      <c r="B34" s="3158" t="s">
        <v>2412</v>
      </c>
      <c r="C34" s="3203"/>
      <c r="D34" s="3204"/>
      <c r="E34" s="3205"/>
      <c r="F34" s="3162"/>
      <c r="G34" s="3156"/>
      <c r="H34" s="3184"/>
      <c r="I34" s="3175"/>
      <c r="J34" s="4020" t="s">
        <v>2413</v>
      </c>
      <c r="K34" s="4021"/>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2414</v>
      </c>
      <c r="C35" s="3207"/>
      <c r="D35" s="3208"/>
      <c r="E35" s="3209"/>
      <c r="F35" s="3162"/>
      <c r="G35" s="3210"/>
      <c r="H35" s="3074"/>
      <c r="I35" s="3175"/>
      <c r="J35" s="3093" t="s">
        <v>2415</v>
      </c>
      <c r="K35" s="3094"/>
      <c r="L35" s="3094"/>
      <c r="M35" s="3095"/>
      <c r="N35" s="3095"/>
      <c r="O35" s="3095"/>
      <c r="P35" s="3095"/>
      <c r="Q35" s="3095"/>
      <c r="R35" s="3211">
        <f>R40+R41+R43</f>
        <v>0</v>
      </c>
      <c r="S35" s="3148"/>
      <c r="T35" s="3066" t="s">
        <v>2416</v>
      </c>
      <c r="U35" s="3066"/>
      <c r="V35" s="3075"/>
    </row>
    <row r="36" spans="1:23" s="3079" customFormat="1" ht="13.15" customHeight="1" thickBot="1">
      <c r="A36" s="3157">
        <v>7</v>
      </c>
      <c r="B36" s="3212" t="s">
        <v>2417</v>
      </c>
      <c r="C36" s="3213"/>
      <c r="D36" s="3214"/>
      <c r="E36" s="3215"/>
      <c r="F36" s="3216">
        <f>C36+D36+E36</f>
        <v>0</v>
      </c>
      <c r="G36" s="3156"/>
      <c r="H36" s="3074"/>
      <c r="I36" s="3075"/>
      <c r="J36" s="4012">
        <v>1</v>
      </c>
      <c r="K36" s="4013" t="s">
        <v>2418</v>
      </c>
      <c r="L36" s="3100"/>
      <c r="M36" s="3101"/>
      <c r="N36" s="3101"/>
      <c r="O36" s="3101"/>
      <c r="P36" s="3101"/>
      <c r="Q36" s="3101"/>
      <c r="R36" s="3084" t="s">
        <v>2319</v>
      </c>
      <c r="S36" s="3148"/>
      <c r="T36" s="3066" t="s">
        <v>2320</v>
      </c>
      <c r="U36" s="3066"/>
      <c r="V36" s="3075"/>
    </row>
    <row r="37" spans="1:23" s="3079" customFormat="1" ht="13.15" customHeight="1">
      <c r="A37" s="3157"/>
      <c r="B37" s="3158"/>
      <c r="C37" s="3158"/>
      <c r="D37" s="3158"/>
      <c r="E37" s="3158"/>
      <c r="F37" s="3162"/>
      <c r="G37" s="3156"/>
      <c r="H37" s="3074"/>
      <c r="I37" s="3075"/>
      <c r="J37" s="4012"/>
      <c r="K37" s="4014"/>
      <c r="L37" s="3109"/>
      <c r="M37" s="3110"/>
      <c r="N37" s="3086"/>
      <c r="O37" s="3111"/>
      <c r="P37" s="3111"/>
      <c r="Q37" s="3112"/>
      <c r="R37" s="3113"/>
      <c r="S37" s="3148"/>
      <c r="T37" s="3066" t="s">
        <v>2323</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12"/>
      <c r="K38" s="4014"/>
      <c r="L38" s="3109"/>
      <c r="M38" s="3110"/>
      <c r="N38" s="3086"/>
      <c r="O38" s="3111"/>
      <c r="P38" s="3111"/>
      <c r="Q38" s="3112"/>
      <c r="R38" s="3113"/>
      <c r="S38" s="3148"/>
      <c r="T38" s="3066" t="s">
        <v>2330</v>
      </c>
      <c r="U38" s="3066"/>
      <c r="V38" s="3075"/>
    </row>
    <row r="39" spans="1:23" s="3079" customFormat="1" ht="13.15" customHeight="1">
      <c r="A39" s="3157">
        <v>9</v>
      </c>
      <c r="B39" s="3158" t="s">
        <v>2419</v>
      </c>
      <c r="C39" s="3123" t="e">
        <f>C38</f>
        <v>#DIV/0!</v>
      </c>
      <c r="D39" s="3158">
        <f>D38/(1+D34)^C36</f>
        <v>0</v>
      </c>
      <c r="E39" s="3158">
        <f>E38/(1+E34)^(C36+D36)</f>
        <v>0</v>
      </c>
      <c r="F39" s="3162"/>
      <c r="G39" s="3217"/>
      <c r="H39" s="3074"/>
      <c r="I39" s="3075"/>
      <c r="J39" s="4012"/>
      <c r="K39" s="4014"/>
      <c r="L39" s="3109"/>
      <c r="M39" s="3110"/>
      <c r="N39" s="3086"/>
      <c r="O39" s="3111"/>
      <c r="P39" s="3111"/>
      <c r="Q39" s="3112"/>
      <c r="R39" s="3113"/>
      <c r="S39" s="3148"/>
      <c r="T39" s="3066"/>
      <c r="U39" s="3066"/>
      <c r="V39" s="3075"/>
    </row>
    <row r="40" spans="1:23" s="3079" customFormat="1" ht="13.15" customHeight="1">
      <c r="A40" s="3218">
        <v>10</v>
      </c>
      <c r="B40" s="3158" t="s">
        <v>2420</v>
      </c>
      <c r="C40" s="3219" t="e">
        <f>C39+D39+E39</f>
        <v>#DIV/0!</v>
      </c>
      <c r="D40" s="3220"/>
      <c r="E40" s="3220"/>
      <c r="F40" s="3221"/>
      <c r="G40" s="3156"/>
      <c r="H40" s="3074"/>
      <c r="I40" s="3075"/>
      <c r="J40" s="4012"/>
      <c r="K40" s="4015"/>
      <c r="L40" s="3129" t="s">
        <v>2421</v>
      </c>
      <c r="M40" s="3130"/>
      <c r="N40" s="3130"/>
      <c r="O40" s="3131"/>
      <c r="P40" s="3131"/>
      <c r="Q40" s="3132"/>
      <c r="R40" s="3078">
        <f>SUM(R37:R39)</f>
        <v>0</v>
      </c>
      <c r="S40" s="3148"/>
      <c r="T40" s="3066"/>
      <c r="U40" s="3066"/>
      <c r="V40" s="3075"/>
    </row>
    <row r="41" spans="1:23" s="3079" customFormat="1" ht="13.15" customHeight="1" thickBot="1">
      <c r="A41" s="3222">
        <v>11</v>
      </c>
      <c r="B41" s="3223" t="s">
        <v>2422</v>
      </c>
      <c r="C41" s="3223" t="e">
        <f>ROUND(C40*10000/B4,0)</f>
        <v>#DIV/0!</v>
      </c>
      <c r="D41" s="3224"/>
      <c r="E41" s="3224"/>
      <c r="F41" s="3225"/>
      <c r="G41" s="3226"/>
      <c r="H41" s="3074"/>
      <c r="I41" s="3075"/>
      <c r="J41" s="3170">
        <v>2</v>
      </c>
      <c r="K41" s="3171" t="s">
        <v>2423</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6">
        <v>3</v>
      </c>
      <c r="K42" s="3177" t="s">
        <v>2424</v>
      </c>
      <c r="L42" s="3178"/>
      <c r="M42" s="3179"/>
      <c r="N42" s="3180" t="s">
        <v>2425</v>
      </c>
      <c r="O42" s="3180" t="s">
        <v>2426</v>
      </c>
      <c r="P42" s="3181" t="s">
        <v>2427</v>
      </c>
      <c r="Q42" s="3181" t="s">
        <v>2428</v>
      </c>
      <c r="R42" s="3084" t="s">
        <v>2429</v>
      </c>
      <c r="S42" s="3182"/>
      <c r="T42" s="3182"/>
      <c r="U42" s="3066"/>
      <c r="V42" s="3075"/>
    </row>
    <row r="43" spans="1:23" ht="13.15" customHeight="1">
      <c r="A43" s="3079"/>
      <c r="B43" s="3079"/>
      <c r="C43" s="3079"/>
      <c r="D43" s="3079"/>
      <c r="E43" s="3079"/>
      <c r="F43" s="3079"/>
      <c r="I43" s="3061"/>
      <c r="J43" s="4017"/>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2430</v>
      </c>
      <c r="L44" s="3230" t="s">
        <v>2431</v>
      </c>
      <c r="M44" s="3193"/>
      <c r="N44" s="3230" t="s">
        <v>2432</v>
      </c>
      <c r="O44" s="3193"/>
      <c r="P44" s="3230" t="s">
        <v>2433</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2277</v>
      </c>
    </row>
    <row r="7" spans="1:25" s="1904" customFormat="1" ht="13.5" customHeight="1">
      <c r="A7" s="2118">
        <v>1</v>
      </c>
      <c r="B7" s="715" t="s">
        <v>557</v>
      </c>
      <c r="C7" s="716">
        <f>C8+C9</f>
        <v>0</v>
      </c>
      <c r="D7" s="716"/>
      <c r="E7" s="717"/>
      <c r="F7" s="717"/>
      <c r="G7" s="2127"/>
    </row>
    <row r="8" spans="1:25" s="1904" customFormat="1" ht="13.5" customHeight="1">
      <c r="A8" s="2118" t="s">
        <v>1783</v>
      </c>
      <c r="B8" s="2121" t="s">
        <v>1785</v>
      </c>
      <c r="C8" s="3011">
        <f>ROUND(D8*E8/10000,0)</f>
        <v>0</v>
      </c>
      <c r="D8" s="3011">
        <v>0</v>
      </c>
      <c r="E8" s="3012">
        <v>0</v>
      </c>
      <c r="F8" s="717"/>
      <c r="G8" s="718"/>
    </row>
    <row r="9" spans="1:25" s="1904" customFormat="1" ht="13.5" customHeight="1">
      <c r="A9" s="2118" t="s">
        <v>1784</v>
      </c>
      <c r="B9" s="2121" t="s">
        <v>1786</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1783</v>
      </c>
      <c r="B11" s="719" t="s">
        <v>558</v>
      </c>
      <c r="C11" s="720">
        <f>'数据-取费表'!B29</f>
        <v>0</v>
      </c>
      <c r="D11" s="721"/>
      <c r="E11" s="720"/>
      <c r="F11" s="722"/>
      <c r="G11" s="2126" t="s">
        <v>1794</v>
      </c>
    </row>
    <row r="12" spans="1:25" s="1904" customFormat="1" ht="13.5" customHeight="1">
      <c r="A12" s="2124" t="s">
        <v>1791</v>
      </c>
      <c r="B12" s="723" t="s">
        <v>559</v>
      </c>
      <c r="C12" s="724">
        <f>ROUND(D12*E12/10000,0)</f>
        <v>1702</v>
      </c>
      <c r="D12" s="3011">
        <f>'数据-汇总表'!E5</f>
        <v>77355.81</v>
      </c>
      <c r="E12" s="3011">
        <f>'数据-取费表'!B27</f>
        <v>220</v>
      </c>
      <c r="F12" s="722"/>
      <c r="G12" s="725"/>
    </row>
    <row r="13" spans="1:25" s="1904" customFormat="1" ht="13.5" customHeight="1">
      <c r="A13" s="2124" t="s">
        <v>1790</v>
      </c>
      <c r="B13" s="723" t="s">
        <v>560</v>
      </c>
      <c r="C13" s="724">
        <f>ROUND(D13*E13/10000,0)</f>
        <v>1111</v>
      </c>
      <c r="D13" s="3011">
        <f>'数据-汇总表'!E6</f>
        <v>50505.520000000004</v>
      </c>
      <c r="E13" s="3011">
        <f>'数据-取费表'!B28</f>
        <v>220</v>
      </c>
      <c r="F13" s="722"/>
      <c r="G13" s="725"/>
    </row>
    <row r="14" spans="1:25" s="1904" customFormat="1" ht="13.5" customHeight="1">
      <c r="A14" s="2118" t="s">
        <v>1784</v>
      </c>
      <c r="B14" s="2123" t="s">
        <v>1787</v>
      </c>
      <c r="C14" s="3013">
        <f>ROUND(D14*E14/10000,0)</f>
        <v>0</v>
      </c>
      <c r="D14" s="3011">
        <v>0</v>
      </c>
      <c r="E14" s="3012">
        <v>0</v>
      </c>
      <c r="F14" s="2122"/>
      <c r="G14" s="2125" t="s">
        <v>1792</v>
      </c>
    </row>
    <row r="15" spans="1:25" s="1904" customFormat="1" ht="13.5" customHeight="1">
      <c r="A15" s="2118" t="s">
        <v>1789</v>
      </c>
      <c r="B15" s="2123" t="s">
        <v>1788</v>
      </c>
      <c r="C15" s="3013">
        <f>ROUND(D15*E15/10000,0)</f>
        <v>0</v>
      </c>
      <c r="D15" s="3011">
        <v>0</v>
      </c>
      <c r="E15" s="3012">
        <v>0</v>
      </c>
      <c r="F15" s="2122"/>
      <c r="G15" s="2125" t="s">
        <v>1793</v>
      </c>
    </row>
    <row r="16" spans="1:25" s="1905" customFormat="1" ht="48">
      <c r="A16" s="2118">
        <v>3</v>
      </c>
      <c r="B16" s="715" t="s">
        <v>563</v>
      </c>
      <c r="C16" s="3013">
        <f>ROUND(D16*E16/10000,0)</f>
        <v>0</v>
      </c>
      <c r="D16" s="3011">
        <v>0</v>
      </c>
      <c r="E16" s="3012">
        <v>0</v>
      </c>
      <c r="F16" s="727"/>
      <c r="G16" s="725" t="s">
        <v>1795</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0.91200000000000003</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3433</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248444</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32117</v>
      </c>
      <c r="C3" s="817" t="s">
        <v>669</v>
      </c>
      <c r="D3" s="816">
        <f>SUMIF('数据-汇总表'!$C19:$C33,D1,'数据-汇总表'!$E19:$E33)</f>
        <v>77355.81</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26" t="s">
        <v>471</v>
      </c>
      <c r="D4" s="3927"/>
      <c r="E4" s="3952" t="s">
        <v>472</v>
      </c>
      <c r="F4" s="3953"/>
      <c r="G4" s="3926" t="s">
        <v>473</v>
      </c>
      <c r="H4" s="3927"/>
      <c r="I4" s="3926" t="s">
        <v>474</v>
      </c>
      <c r="J4" s="3927"/>
      <c r="K4" s="818" t="s">
        <v>475</v>
      </c>
      <c r="L4" s="1855"/>
      <c r="M4" s="1856"/>
      <c r="N4" s="1856"/>
      <c r="O4" s="1856"/>
      <c r="P4" s="3928" t="s">
        <v>476</v>
      </c>
      <c r="Q4" s="3929"/>
      <c r="R4" s="3912" t="s">
        <v>472</v>
      </c>
      <c r="S4" s="3913"/>
      <c r="T4" s="3912" t="s">
        <v>473</v>
      </c>
      <c r="U4" s="3913"/>
      <c r="V4" s="3934" t="s">
        <v>474</v>
      </c>
      <c r="W4" s="3934"/>
      <c r="X4" s="1379"/>
      <c r="Y4" s="3912" t="s">
        <v>476</v>
      </c>
      <c r="Z4" s="3913"/>
      <c r="AA4" s="3907" t="s">
        <v>472</v>
      </c>
      <c r="AB4" s="3907" t="s">
        <v>473</v>
      </c>
      <c r="AC4" s="3907" t="s">
        <v>474</v>
      </c>
    </row>
    <row r="5" spans="1:29" ht="15">
      <c r="A5" s="485"/>
      <c r="B5" s="486"/>
      <c r="C5" s="4031" t="s">
        <v>3376</v>
      </c>
      <c r="D5" s="3938"/>
      <c r="E5" s="3954" t="str">
        <f>'住宅-案例'!A2</f>
        <v>三亚亚沙村</v>
      </c>
      <c r="F5" s="3955"/>
      <c r="G5" s="4031" t="str">
        <f>'住宅-案例'!A3</f>
        <v>时分亚龙湾</v>
      </c>
      <c r="H5" s="3938"/>
      <c r="I5" s="4031" t="str">
        <f>'住宅-案例'!A4</f>
        <v>三亚欢乐颂</v>
      </c>
      <c r="J5" s="3938"/>
      <c r="K5" s="819"/>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4032" t="s">
        <v>3377</v>
      </c>
      <c r="D6" s="3936"/>
      <c r="E6" s="4032" t="s">
        <v>3377</v>
      </c>
      <c r="F6" s="3936"/>
      <c r="G6" s="4032" t="s">
        <v>3377</v>
      </c>
      <c r="H6" s="3936"/>
      <c r="I6" s="4032" t="s">
        <v>3377</v>
      </c>
      <c r="J6" s="3936"/>
      <c r="K6" s="819"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f>'住宅-案例'!B2</f>
        <v>44958</v>
      </c>
      <c r="F7" s="492">
        <f>SUMIF(58:58,YEAR(E7)&amp;"-"&amp;MONTH(E7),59:59)</f>
        <v>100</v>
      </c>
      <c r="G7" s="491">
        <f>'住宅-案例'!B3</f>
        <v>44958</v>
      </c>
      <c r="H7" s="490">
        <f>SUMIF(58:58,YEAR(G7)&amp;"-"&amp;MONTH(G7),59:59)</f>
        <v>100</v>
      </c>
      <c r="I7" s="491">
        <f>'住宅-案例'!B4</f>
        <v>44896</v>
      </c>
      <c r="J7" s="490">
        <f>SUMIF(58:58,YEAR(I7)&amp;"-"&amp;MONTH(I7),59:59)</f>
        <v>100</v>
      </c>
      <c r="K7" s="820"/>
      <c r="L7" s="1857"/>
      <c r="M7" s="1858"/>
      <c r="N7" s="1858"/>
      <c r="O7" s="1858"/>
      <c r="P7" s="3910" t="s">
        <v>479</v>
      </c>
      <c r="Q7" s="3919"/>
      <c r="R7" s="1380" t="s">
        <v>10</v>
      </c>
      <c r="S7" s="1381">
        <f t="shared" ref="S7:S15" si="0">F7</f>
        <v>100</v>
      </c>
      <c r="T7" s="1380" t="s">
        <v>10</v>
      </c>
      <c r="U7" s="1381">
        <f t="shared" ref="U7:U15" si="1">H7</f>
        <v>100</v>
      </c>
      <c r="V7" s="1380" t="s">
        <v>10</v>
      </c>
      <c r="W7" s="1381">
        <f t="shared" ref="W7:W15" si="2">J7</f>
        <v>100</v>
      </c>
      <c r="X7" s="1382"/>
      <c r="Y7" s="3910" t="s">
        <v>479</v>
      </c>
      <c r="Z7" s="3911"/>
      <c r="AA7" s="1383">
        <f>D7/F7</f>
        <v>1</v>
      </c>
      <c r="AB7" s="1383">
        <f>D7/H7</f>
        <v>1</v>
      </c>
      <c r="AC7" s="1383">
        <f>D7/J7</f>
        <v>1</v>
      </c>
    </row>
    <row r="8" spans="1:29" s="1117" customFormat="1" ht="15.75" thickBot="1">
      <c r="A8" s="2392"/>
      <c r="B8" s="2399"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7"/>
      <c r="M8" s="1858"/>
      <c r="N8" s="1858"/>
      <c r="O8" s="1858"/>
      <c r="P8" s="3910" t="s">
        <v>482</v>
      </c>
      <c r="Q8" s="3911"/>
      <c r="R8" s="1380" t="s">
        <v>10</v>
      </c>
      <c r="S8" s="1381">
        <f t="shared" si="0"/>
        <v>100</v>
      </c>
      <c r="T8" s="1380" t="s">
        <v>10</v>
      </c>
      <c r="U8" s="1381">
        <f t="shared" si="1"/>
        <v>100</v>
      </c>
      <c r="V8" s="1380" t="s">
        <v>10</v>
      </c>
      <c r="W8" s="1381">
        <f t="shared" si="2"/>
        <v>100</v>
      </c>
      <c r="X8" s="1382"/>
      <c r="Y8" s="3910" t="s">
        <v>482</v>
      </c>
      <c r="Z8" s="3911"/>
      <c r="AA8" s="1383">
        <f t="shared" ref="AA8:AA46" si="3">D8/F8</f>
        <v>1</v>
      </c>
      <c r="AB8" s="1383">
        <f t="shared" ref="AB8:AB46" si="4">D8/H8</f>
        <v>1</v>
      </c>
      <c r="AC8" s="1383">
        <f t="shared" ref="AC8:AC46" si="5">D8/J8</f>
        <v>1</v>
      </c>
    </row>
    <row r="9" spans="1:29" s="1117" customFormat="1" ht="15">
      <c r="A9" s="2393"/>
      <c r="B9" s="2400" t="s">
        <v>2035</v>
      </c>
      <c r="C9" s="3682" t="s">
        <v>3393</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75" thickBot="1">
      <c r="A11" s="2395"/>
      <c r="B11" s="2399" t="s">
        <v>2037</v>
      </c>
      <c r="C11" s="503">
        <f>'比较法-住宅、综合'!C13</f>
        <v>2.39</v>
      </c>
      <c r="D11" s="246">
        <v>100</v>
      </c>
      <c r="E11" s="504">
        <f>'住宅-案例'!F2</f>
        <v>2.5</v>
      </c>
      <c r="F11" s="826">
        <f>LOOKUP(E11,68:68,69:69)-LOOKUP(C11,68:68,69:69)+100</f>
        <v>100</v>
      </c>
      <c r="G11" s="503">
        <f>'住宅-案例'!F3</f>
        <v>2.1</v>
      </c>
      <c r="H11" s="246">
        <f>LOOKUP(G11,68:68,69:69)-LOOKUP(C11,68:68,69:69)+100</f>
        <v>100</v>
      </c>
      <c r="I11" s="503">
        <f>'住宅-案例'!F4</f>
        <v>2.2000000000000002</v>
      </c>
      <c r="J11" s="246">
        <f>LOOKUP(I11,68:68,69:69)-LOOKUP(C11,68:68,69:69)+100</f>
        <v>100</v>
      </c>
      <c r="K11" s="827">
        <v>2</v>
      </c>
      <c r="L11" s="1862"/>
      <c r="M11" s="1856"/>
      <c r="N11" s="1856"/>
      <c r="O11" s="1863"/>
      <c r="P11" s="3918"/>
      <c r="Q11" s="1049" t="str">
        <f t="shared" si="6"/>
        <v>容积率</v>
      </c>
      <c r="R11" s="1380" t="s">
        <v>8</v>
      </c>
      <c r="S11" s="1381">
        <f t="shared" si="0"/>
        <v>100</v>
      </c>
      <c r="T11" s="1380" t="s">
        <v>8</v>
      </c>
      <c r="U11" s="1381">
        <f t="shared" si="1"/>
        <v>100</v>
      </c>
      <c r="V11" s="1380" t="s">
        <v>8</v>
      </c>
      <c r="W11" s="1381">
        <f t="shared" si="2"/>
        <v>100</v>
      </c>
      <c r="X11" s="1382"/>
      <c r="Y11" s="3870"/>
      <c r="Z11" s="1048" t="str">
        <f t="shared" si="7"/>
        <v>容积率</v>
      </c>
      <c r="AA11" s="1383">
        <f t="shared" si="3"/>
        <v>1</v>
      </c>
      <c r="AB11" s="1383">
        <f t="shared" si="4"/>
        <v>1</v>
      </c>
      <c r="AC11" s="1383">
        <f t="shared" si="5"/>
        <v>1</v>
      </c>
    </row>
    <row r="12" spans="1:29" s="1117" customFormat="1" ht="15" hidden="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18"/>
      <c r="Q12" s="1049">
        <f t="shared" si="6"/>
        <v>111</v>
      </c>
      <c r="R12" s="1380" t="s">
        <v>8</v>
      </c>
      <c r="S12" s="1381">
        <f t="shared" si="0"/>
        <v>100</v>
      </c>
      <c r="T12" s="1380" t="s">
        <v>8</v>
      </c>
      <c r="U12" s="1381">
        <f t="shared" si="1"/>
        <v>100</v>
      </c>
      <c r="V12" s="1380" t="s">
        <v>8</v>
      </c>
      <c r="W12" s="1381">
        <f t="shared" si="2"/>
        <v>100</v>
      </c>
      <c r="X12" s="1382"/>
      <c r="Y12" s="3870"/>
      <c r="Z12" s="1048">
        <f t="shared" si="7"/>
        <v>111</v>
      </c>
      <c r="AA12" s="1383">
        <f>D12/F12</f>
        <v>1</v>
      </c>
      <c r="AB12" s="1383">
        <f>D12/H12</f>
        <v>1</v>
      </c>
      <c r="AC12" s="1383">
        <f>D12/J12</f>
        <v>1</v>
      </c>
    </row>
    <row r="13" spans="1:29" ht="15" hidden="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18"/>
      <c r="Q13" s="1049">
        <f t="shared" si="6"/>
        <v>111</v>
      </c>
      <c r="R13" s="1380" t="s">
        <v>8</v>
      </c>
      <c r="S13" s="1381">
        <f t="shared" si="0"/>
        <v>100</v>
      </c>
      <c r="T13" s="1380" t="s">
        <v>8</v>
      </c>
      <c r="U13" s="1381">
        <f t="shared" si="1"/>
        <v>100</v>
      </c>
      <c r="V13" s="1380" t="s">
        <v>8</v>
      </c>
      <c r="W13" s="1381">
        <f t="shared" si="2"/>
        <v>100</v>
      </c>
      <c r="X13" s="1382"/>
      <c r="Y13" s="3870"/>
      <c r="Z13" s="104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18"/>
      <c r="Q14" s="1049">
        <f t="shared" si="6"/>
        <v>111</v>
      </c>
      <c r="R14" s="1380" t="s">
        <v>8</v>
      </c>
      <c r="S14" s="1381">
        <f t="shared" si="0"/>
        <v>100</v>
      </c>
      <c r="T14" s="1380" t="s">
        <v>8</v>
      </c>
      <c r="U14" s="1381">
        <f t="shared" si="1"/>
        <v>100</v>
      </c>
      <c r="V14" s="1380" t="s">
        <v>8</v>
      </c>
      <c r="W14" s="1381">
        <f t="shared" si="2"/>
        <v>100</v>
      </c>
      <c r="X14" s="1382"/>
      <c r="Y14" s="3870"/>
      <c r="Z14" s="1048">
        <f t="shared" si="7"/>
        <v>111</v>
      </c>
      <c r="AA14" s="1383">
        <f t="shared" si="3"/>
        <v>1</v>
      </c>
      <c r="AB14" s="1383">
        <f t="shared" si="4"/>
        <v>1</v>
      </c>
      <c r="AC14" s="1383">
        <f t="shared" si="5"/>
        <v>1</v>
      </c>
    </row>
    <row r="15" spans="1:29" ht="15">
      <c r="A15" s="2389" t="s">
        <v>2033</v>
      </c>
      <c r="B15" s="159" t="s">
        <v>261</v>
      </c>
      <c r="C15" s="830" t="str">
        <f>估价对象房地状况!C3</f>
        <v>一般</v>
      </c>
      <c r="D15" s="519">
        <v>100</v>
      </c>
      <c r="E15" s="3683" t="s">
        <v>3271</v>
      </c>
      <c r="F15" s="521">
        <f>SUMIF(76:76,E16,77:77)-SUMIF(76:76,C16,77:77)+100</f>
        <v>100</v>
      </c>
      <c r="G15" s="3683" t="s">
        <v>3271</v>
      </c>
      <c r="H15" s="519">
        <f>SUMIF(76:76,G16,77:77)-SUMIF(76:76,C16,77:77)+100</f>
        <v>100</v>
      </c>
      <c r="I15" s="3683" t="s">
        <v>3394</v>
      </c>
      <c r="J15" s="519">
        <f>SUMIF(76:76,I16,77:77)-SUMIF(76:76,C16,77:77)+100</f>
        <v>102</v>
      </c>
      <c r="K15" s="831">
        <v>2</v>
      </c>
      <c r="L15" s="1864"/>
      <c r="M15" s="1856"/>
      <c r="N15" s="1856"/>
      <c r="O15" s="1863"/>
      <c r="P15" s="3920" t="s">
        <v>489</v>
      </c>
      <c r="Q15" s="1384" t="str">
        <f t="shared" si="6"/>
        <v>居住社区成熟度</v>
      </c>
      <c r="R15" s="1385" t="s">
        <v>8</v>
      </c>
      <c r="S15" s="1386">
        <f t="shared" si="0"/>
        <v>100</v>
      </c>
      <c r="T15" s="1385" t="s">
        <v>8</v>
      </c>
      <c r="U15" s="1386">
        <f t="shared" si="1"/>
        <v>100</v>
      </c>
      <c r="V15" s="1385" t="s">
        <v>8</v>
      </c>
      <c r="W15" s="1386">
        <f t="shared" si="2"/>
        <v>102</v>
      </c>
      <c r="X15" s="1379"/>
      <c r="Y15" s="3920" t="s">
        <v>489</v>
      </c>
      <c r="Z15" s="1387" t="str">
        <f t="shared" si="7"/>
        <v>居住社区成熟度</v>
      </c>
      <c r="AA15" s="1388">
        <f t="shared" si="3"/>
        <v>1</v>
      </c>
      <c r="AB15" s="1388">
        <f t="shared" si="4"/>
        <v>1</v>
      </c>
      <c r="AC15" s="1388">
        <f t="shared" si="5"/>
        <v>0.98039215686274506</v>
      </c>
    </row>
    <row r="16" spans="1:29" ht="15">
      <c r="A16" s="502"/>
      <c r="B16" s="832"/>
      <c r="C16" s="546" t="s">
        <v>3271</v>
      </c>
      <c r="D16" s="525"/>
      <c r="E16" s="526" t="s">
        <v>3271</v>
      </c>
      <c r="F16" s="527"/>
      <c r="G16" s="526" t="s">
        <v>3271</v>
      </c>
      <c r="H16" s="529"/>
      <c r="I16" s="526" t="s">
        <v>3270</v>
      </c>
      <c r="J16" s="525"/>
      <c r="K16" s="833"/>
      <c r="L16" s="1864"/>
      <c r="M16" s="1856"/>
      <c r="N16" s="1856"/>
      <c r="O16" s="1863"/>
      <c r="P16" s="3921"/>
      <c r="Q16" s="1384"/>
      <c r="R16" s="1385"/>
      <c r="S16" s="1386"/>
      <c r="T16" s="1385"/>
      <c r="U16" s="1386"/>
      <c r="V16" s="1385"/>
      <c r="W16" s="1386"/>
      <c r="X16" s="1379"/>
      <c r="Y16" s="3921"/>
      <c r="Z16" s="1387"/>
      <c r="AA16" s="1388">
        <v>1</v>
      </c>
      <c r="AB16" s="1388">
        <v>1</v>
      </c>
      <c r="AC16" s="1388">
        <v>1</v>
      </c>
    </row>
    <row r="17" spans="1:29" ht="15">
      <c r="A17" s="502"/>
      <c r="B17" s="834" t="s">
        <v>262</v>
      </c>
      <c r="C17" s="835" t="str">
        <f>估价对象房地状况!C6</f>
        <v>一般</v>
      </c>
      <c r="D17" s="529">
        <v>100</v>
      </c>
      <c r="E17" s="532" t="s">
        <v>3271</v>
      </c>
      <c r="F17" s="533">
        <f>SUMIF(78:78,E18,79:79)-SUMIF(78:78,C18,79:79)+100</f>
        <v>100</v>
      </c>
      <c r="G17" s="532" t="s">
        <v>3271</v>
      </c>
      <c r="H17" s="535">
        <f>SUMIF(78:78,G18,79:79)-SUMIF(78:78,C18,79:79)+100</f>
        <v>100</v>
      </c>
      <c r="I17" s="532" t="s">
        <v>3271</v>
      </c>
      <c r="J17" s="535">
        <f>SUMIF(78:78,I18,79:79)-SUMIF(78:78,C18,79:79)+100</f>
        <v>100</v>
      </c>
      <c r="K17" s="831">
        <v>2</v>
      </c>
      <c r="L17" s="1864"/>
      <c r="M17" s="1856"/>
      <c r="N17" s="1856"/>
      <c r="O17" s="1863"/>
      <c r="P17" s="3921"/>
      <c r="Q17" s="1384" t="str">
        <f>B17</f>
        <v>交通便捷度</v>
      </c>
      <c r="R17" s="1385" t="s">
        <v>8</v>
      </c>
      <c r="S17" s="1386">
        <f>F17</f>
        <v>100</v>
      </c>
      <c r="T17" s="1385" t="s">
        <v>8</v>
      </c>
      <c r="U17" s="1386">
        <f>H17</f>
        <v>100</v>
      </c>
      <c r="V17" s="1385" t="s">
        <v>8</v>
      </c>
      <c r="W17" s="1386">
        <f>J17</f>
        <v>100</v>
      </c>
      <c r="X17" s="1379"/>
      <c r="Y17" s="3921"/>
      <c r="Z17" s="1387" t="str">
        <f>Q17</f>
        <v>交通便捷度</v>
      </c>
      <c r="AA17" s="1388">
        <f t="shared" si="3"/>
        <v>1</v>
      </c>
      <c r="AB17" s="1388">
        <f t="shared" si="4"/>
        <v>1</v>
      </c>
      <c r="AC17" s="1388">
        <f t="shared" si="5"/>
        <v>1</v>
      </c>
    </row>
    <row r="18" spans="1:29" ht="15.75" thickBot="1">
      <c r="A18" s="502"/>
      <c r="B18" s="565"/>
      <c r="C18" s="836" t="s">
        <v>3271</v>
      </c>
      <c r="D18" s="529"/>
      <c r="E18" s="538" t="s">
        <v>3271</v>
      </c>
      <c r="F18" s="533"/>
      <c r="G18" s="538" t="s">
        <v>3271</v>
      </c>
      <c r="H18" s="525"/>
      <c r="I18" s="538" t="s">
        <v>3271</v>
      </c>
      <c r="J18" s="525"/>
      <c r="K18" s="833"/>
      <c r="L18" s="1864"/>
      <c r="M18" s="1856"/>
      <c r="N18" s="1856"/>
      <c r="O18" s="1863"/>
      <c r="P18" s="3921"/>
      <c r="Q18" s="1384"/>
      <c r="R18" s="1385"/>
      <c r="S18" s="1386"/>
      <c r="T18" s="1385"/>
      <c r="U18" s="1386"/>
      <c r="V18" s="1385"/>
      <c r="W18" s="1386"/>
      <c r="X18" s="1379"/>
      <c r="Y18" s="3921"/>
      <c r="Z18" s="1387"/>
      <c r="AA18" s="1388">
        <v>1</v>
      </c>
      <c r="AB18" s="1388">
        <v>1</v>
      </c>
      <c r="AC18" s="1388">
        <v>1</v>
      </c>
    </row>
    <row r="19" spans="1:29" ht="15">
      <c r="A19" s="502"/>
      <c r="B19" s="2207" t="s">
        <v>1826</v>
      </c>
      <c r="C19" s="835" t="str">
        <f>估价对象房地状况!C7</f>
        <v>一般</v>
      </c>
      <c r="D19" s="535">
        <v>100</v>
      </c>
      <c r="E19" s="540" t="s">
        <v>3271</v>
      </c>
      <c r="F19" s="541">
        <f>SUMIF(80:80,E20,81:81)-SUMIF(80:80,C20,81:81)+100</f>
        <v>100</v>
      </c>
      <c r="G19" s="532" t="s">
        <v>3271</v>
      </c>
      <c r="H19" s="529">
        <f>SUMIF(80:80,G20,81:81)-SUMIF(80:80,C20,81:81)+100</f>
        <v>100</v>
      </c>
      <c r="I19" s="3683" t="s">
        <v>3394</v>
      </c>
      <c r="J19" s="529">
        <f>SUMIF(80:80,I20,81:81)-SUMIF(80:80,C20,81:81)+100</f>
        <v>102</v>
      </c>
      <c r="K19" s="831">
        <v>2</v>
      </c>
      <c r="L19" s="1864"/>
      <c r="M19" s="1856"/>
      <c r="N19" s="1856"/>
      <c r="O19" s="1863"/>
      <c r="P19" s="3921"/>
      <c r="Q19" s="1384" t="str">
        <f>B19</f>
        <v>公共配套设施</v>
      </c>
      <c r="R19" s="1385" t="s">
        <v>8</v>
      </c>
      <c r="S19" s="1386">
        <f>F19</f>
        <v>100</v>
      </c>
      <c r="T19" s="1385" t="s">
        <v>8</v>
      </c>
      <c r="U19" s="1386">
        <f>H19</f>
        <v>100</v>
      </c>
      <c r="V19" s="1385" t="s">
        <v>8</v>
      </c>
      <c r="W19" s="1386">
        <f>J19</f>
        <v>102</v>
      </c>
      <c r="X19" s="1379"/>
      <c r="Y19" s="3921"/>
      <c r="Z19" s="1387" t="str">
        <f>Q19</f>
        <v>公共配套设施</v>
      </c>
      <c r="AA19" s="1388">
        <f t="shared" si="3"/>
        <v>1</v>
      </c>
      <c r="AB19" s="1388">
        <f t="shared" si="4"/>
        <v>1</v>
      </c>
      <c r="AC19" s="1388">
        <f t="shared" si="5"/>
        <v>0.98039215686274506</v>
      </c>
    </row>
    <row r="20" spans="1:29" ht="15">
      <c r="A20" s="502"/>
      <c r="B20" s="565"/>
      <c r="C20" s="546" t="s">
        <v>3271</v>
      </c>
      <c r="D20" s="525"/>
      <c r="E20" s="526" t="s">
        <v>3271</v>
      </c>
      <c r="F20" s="527"/>
      <c r="G20" s="538" t="s">
        <v>3271</v>
      </c>
      <c r="H20" s="525"/>
      <c r="I20" s="526" t="s">
        <v>3270</v>
      </c>
      <c r="J20" s="525"/>
      <c r="K20" s="833"/>
      <c r="L20" s="1864"/>
      <c r="M20" s="1856"/>
      <c r="N20" s="1856"/>
      <c r="O20" s="1863"/>
      <c r="P20" s="3921"/>
      <c r="Q20" s="1384"/>
      <c r="R20" s="1385"/>
      <c r="S20" s="1386"/>
      <c r="T20" s="1385"/>
      <c r="U20" s="1386"/>
      <c r="V20" s="1385"/>
      <c r="W20" s="1386"/>
      <c r="X20" s="1379"/>
      <c r="Y20" s="3921"/>
      <c r="Z20" s="1387"/>
      <c r="AA20" s="1388">
        <v>1</v>
      </c>
      <c r="AB20" s="1388">
        <v>1</v>
      </c>
      <c r="AC20" s="1388">
        <v>1</v>
      </c>
    </row>
    <row r="21" spans="1:29" ht="15">
      <c r="A21" s="502"/>
      <c r="B21" s="2200" t="s">
        <v>1838</v>
      </c>
      <c r="C21" s="835" t="str">
        <f>估价对象房地状况!C8</f>
        <v>六通</v>
      </c>
      <c r="D21" s="535">
        <v>100</v>
      </c>
      <c r="E21" s="542" t="s">
        <v>3272</v>
      </c>
      <c r="F21" s="541">
        <f>SUMIF(82:82,E22,83:83)-SUMIF(82:82,C22,83:83)+100</f>
        <v>100</v>
      </c>
      <c r="G21" s="542" t="s">
        <v>3272</v>
      </c>
      <c r="H21" s="535">
        <f>SUMIF(82:82,G22,83:83)-SUMIF(82:82,C22,83:83)+100</f>
        <v>100</v>
      </c>
      <c r="I21" s="542" t="s">
        <v>3272</v>
      </c>
      <c r="J21" s="535">
        <f>SUMIF(82:82,I22,83:83)-SUMIF(82:82,C22,83:83)+100</f>
        <v>100</v>
      </c>
      <c r="K21" s="831">
        <v>1</v>
      </c>
      <c r="L21" s="1864"/>
      <c r="M21" s="1856"/>
      <c r="N21" s="1856"/>
      <c r="O21" s="1863"/>
      <c r="P21" s="3921"/>
      <c r="Q21" s="2192" t="str">
        <f>B21</f>
        <v>基础设施水平</v>
      </c>
      <c r="R21" s="1385" t="s">
        <v>8</v>
      </c>
      <c r="S21" s="1386">
        <f>F21</f>
        <v>100</v>
      </c>
      <c r="T21" s="1385" t="s">
        <v>8</v>
      </c>
      <c r="U21" s="1386">
        <f>H21</f>
        <v>100</v>
      </c>
      <c r="V21" s="1385" t="s">
        <v>8</v>
      </c>
      <c r="W21" s="1386">
        <f>J21</f>
        <v>100</v>
      </c>
      <c r="X21" s="2194"/>
      <c r="Y21" s="3921"/>
      <c r="Z21" s="2193" t="str">
        <f>Q21</f>
        <v>基础设施水平</v>
      </c>
      <c r="AA21" s="1388">
        <f>D21/F21</f>
        <v>1</v>
      </c>
      <c r="AB21" s="1388">
        <f>D21/H21</f>
        <v>1</v>
      </c>
      <c r="AC21" s="1388">
        <f>D21/J21</f>
        <v>1</v>
      </c>
    </row>
    <row r="22" spans="1:29" ht="15">
      <c r="A22" s="502"/>
      <c r="B22" s="884"/>
      <c r="C22" s="836" t="s">
        <v>3272</v>
      </c>
      <c r="D22" s="525"/>
      <c r="E22" s="546" t="s">
        <v>3272</v>
      </c>
      <c r="F22" s="527"/>
      <c r="G22" s="546" t="s">
        <v>3272</v>
      </c>
      <c r="H22" s="525"/>
      <c r="I22" s="546" t="s">
        <v>3272</v>
      </c>
      <c r="J22" s="525"/>
      <c r="K22" s="2206"/>
      <c r="L22" s="1864"/>
      <c r="M22" s="1856"/>
      <c r="N22" s="1856"/>
      <c r="O22" s="1863"/>
      <c r="P22" s="3921"/>
      <c r="Q22" s="2192"/>
      <c r="R22" s="1385"/>
      <c r="S22" s="1386"/>
      <c r="T22" s="1385"/>
      <c r="U22" s="1386"/>
      <c r="V22" s="1385"/>
      <c r="W22" s="1386"/>
      <c r="X22" s="2194"/>
      <c r="Y22" s="3921"/>
      <c r="Z22" s="2193"/>
      <c r="AA22" s="1388">
        <v>1</v>
      </c>
      <c r="AB22" s="1388">
        <v>1</v>
      </c>
      <c r="AC22" s="1388">
        <v>1</v>
      </c>
    </row>
    <row r="23" spans="1:29" ht="15">
      <c r="A23" s="502"/>
      <c r="B23" s="834" t="s">
        <v>263</v>
      </c>
      <c r="C23" s="835" t="str">
        <f>估价对象房地状况!C9</f>
        <v>一般</v>
      </c>
      <c r="D23" s="529">
        <v>100</v>
      </c>
      <c r="E23" s="540" t="s">
        <v>3271</v>
      </c>
      <c r="F23" s="533">
        <f>SUMIF(84:84,E24,85:85)-SUMIF(84:84,C24,85:85)+100</f>
        <v>100</v>
      </c>
      <c r="G23" s="540" t="s">
        <v>3271</v>
      </c>
      <c r="H23" s="529">
        <f>SUMIF(84:84,G24,85:85)-SUMIF(84:84,C24,85:85)+100</f>
        <v>100</v>
      </c>
      <c r="I23" s="540" t="s">
        <v>3271</v>
      </c>
      <c r="J23" s="529">
        <f>SUMIF(84:84,I24,85:85)-SUMIF(84:84,C24,85:85)+100</f>
        <v>100</v>
      </c>
      <c r="K23" s="831">
        <v>2</v>
      </c>
      <c r="L23" s="1864"/>
      <c r="M23" s="1856"/>
      <c r="N23" s="1856"/>
      <c r="O23" s="1863"/>
      <c r="P23" s="3921"/>
      <c r="Q23" s="1384" t="str">
        <f>B23</f>
        <v>自然及人文环境</v>
      </c>
      <c r="R23" s="1385" t="s">
        <v>8</v>
      </c>
      <c r="S23" s="1386">
        <f>F23</f>
        <v>100</v>
      </c>
      <c r="T23" s="1385" t="s">
        <v>8</v>
      </c>
      <c r="U23" s="1386">
        <f>H23</f>
        <v>100</v>
      </c>
      <c r="V23" s="1385" t="s">
        <v>8</v>
      </c>
      <c r="W23" s="1386">
        <f>J23</f>
        <v>100</v>
      </c>
      <c r="X23" s="1379"/>
      <c r="Y23" s="3921"/>
      <c r="Z23" s="1387" t="str">
        <f>Q23</f>
        <v>自然及人文环境</v>
      </c>
      <c r="AA23" s="1388">
        <f t="shared" si="3"/>
        <v>1</v>
      </c>
      <c r="AB23" s="1388">
        <f t="shared" si="4"/>
        <v>1</v>
      </c>
      <c r="AC23" s="1388">
        <f t="shared" si="5"/>
        <v>1</v>
      </c>
    </row>
    <row r="24" spans="1:29" ht="15.75" thickBot="1">
      <c r="A24" s="502"/>
      <c r="B24" s="565"/>
      <c r="C24" s="546" t="s">
        <v>3271</v>
      </c>
      <c r="D24" s="525"/>
      <c r="E24" s="526" t="s">
        <v>3271</v>
      </c>
      <c r="F24" s="527"/>
      <c r="G24" s="526" t="s">
        <v>3271</v>
      </c>
      <c r="H24" s="525"/>
      <c r="I24" s="526" t="s">
        <v>3271</v>
      </c>
      <c r="J24" s="525"/>
      <c r="K24" s="833"/>
      <c r="L24" s="1864"/>
      <c r="M24" s="1856"/>
      <c r="N24" s="1856"/>
      <c r="O24" s="1863"/>
      <c r="P24" s="3921"/>
      <c r="Q24" s="1384"/>
      <c r="R24" s="1385"/>
      <c r="S24" s="1386"/>
      <c r="T24" s="1385"/>
      <c r="U24" s="1386"/>
      <c r="V24" s="1385"/>
      <c r="W24" s="1386"/>
      <c r="X24" s="1379"/>
      <c r="Y24" s="3921"/>
      <c r="Z24" s="1387"/>
      <c r="AA24" s="1388">
        <v>1</v>
      </c>
      <c r="AB24" s="1388">
        <v>1</v>
      </c>
      <c r="AC24" s="1388">
        <v>1</v>
      </c>
    </row>
    <row r="25" spans="1:29" ht="15" hidden="1">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1"/>
      <c r="Q25" s="1384" t="str">
        <f t="shared" ref="Q25:Q46" si="8">B25</f>
        <v>楼层-1</v>
      </c>
      <c r="R25" s="1385" t="s">
        <v>8</v>
      </c>
      <c r="S25" s="1386">
        <f>F25</f>
        <v>100</v>
      </c>
      <c r="T25" s="1385" t="s">
        <v>8</v>
      </c>
      <c r="U25" s="1386">
        <f>H25</f>
        <v>100</v>
      </c>
      <c r="V25" s="1385" t="s">
        <v>8</v>
      </c>
      <c r="W25" s="1386">
        <f>J25</f>
        <v>100</v>
      </c>
      <c r="X25" s="1379"/>
      <c r="Y25" s="3921"/>
      <c r="Z25" s="1387" t="str">
        <f>Q25</f>
        <v>楼层-1</v>
      </c>
      <c r="AA25" s="1388">
        <f t="shared" si="3"/>
        <v>1</v>
      </c>
      <c r="AB25" s="1388">
        <f t="shared" si="4"/>
        <v>1</v>
      </c>
      <c r="AC25" s="1388">
        <f t="shared" si="5"/>
        <v>1</v>
      </c>
    </row>
    <row r="26" spans="1:29" ht="15" hidden="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1"/>
      <c r="Q26" s="1384" t="str">
        <f t="shared" si="8"/>
        <v>朝向</v>
      </c>
      <c r="R26" s="1385" t="s">
        <v>8</v>
      </c>
      <c r="S26" s="1386">
        <f>F26</f>
        <v>100</v>
      </c>
      <c r="T26" s="1385" t="s">
        <v>8</v>
      </c>
      <c r="U26" s="1386">
        <f>H26</f>
        <v>100</v>
      </c>
      <c r="V26" s="1385" t="s">
        <v>8</v>
      </c>
      <c r="W26" s="1386">
        <f>J26</f>
        <v>100</v>
      </c>
      <c r="X26" s="1379"/>
      <c r="Y26" s="3921"/>
      <c r="Z26" s="1387" t="str">
        <f>Q26</f>
        <v>朝向</v>
      </c>
      <c r="AA26" s="1388">
        <f t="shared" si="3"/>
        <v>1</v>
      </c>
      <c r="AB26" s="1388">
        <f t="shared" si="4"/>
        <v>1</v>
      </c>
      <c r="AC26" s="1388">
        <f t="shared" si="5"/>
        <v>1</v>
      </c>
    </row>
    <row r="27" spans="1:29" s="1117" customFormat="1" ht="15.75" hidden="1"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1"/>
      <c r="Q27" s="1049" t="str">
        <f t="shared" si="8"/>
        <v>道路级别</v>
      </c>
      <c r="R27" s="1380" t="s">
        <v>8</v>
      </c>
      <c r="S27" s="1381">
        <f>F27</f>
        <v>100</v>
      </c>
      <c r="T27" s="1380" t="s">
        <v>8</v>
      </c>
      <c r="U27" s="1381">
        <f>H27</f>
        <v>100</v>
      </c>
      <c r="V27" s="1380" t="s">
        <v>8</v>
      </c>
      <c r="W27" s="1381">
        <f>J27</f>
        <v>100</v>
      </c>
      <c r="X27" s="1382"/>
      <c r="Y27" s="3921"/>
      <c r="Z27" s="1048" t="str">
        <f>Q27</f>
        <v>道路级别</v>
      </c>
      <c r="AA27" s="1388">
        <f>D27/F27</f>
        <v>1</v>
      </c>
      <c r="AB27" s="1388">
        <f>D27/H27</f>
        <v>1</v>
      </c>
      <c r="AC27" s="1388">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1"/>
      <c r="Q28" s="1384">
        <f t="shared" si="8"/>
        <v>111</v>
      </c>
      <c r="R28" s="1385" t="s">
        <v>8</v>
      </c>
      <c r="S28" s="1386">
        <f t="shared" ref="S28:S46" si="9">F28</f>
        <v>100</v>
      </c>
      <c r="T28" s="1385" t="s">
        <v>8</v>
      </c>
      <c r="U28" s="1386">
        <f t="shared" ref="U28:U46" si="10">H28</f>
        <v>100</v>
      </c>
      <c r="V28" s="1385" t="s">
        <v>8</v>
      </c>
      <c r="W28" s="1386">
        <f t="shared" ref="W28:W46" si="11">J28</f>
        <v>100</v>
      </c>
      <c r="X28" s="1379"/>
      <c r="Y28" s="3921"/>
      <c r="Z28" s="1387">
        <f t="shared" ref="Z28:Z46" si="12">Q28</f>
        <v>111</v>
      </c>
      <c r="AA28" s="1388">
        <f t="shared" si="3"/>
        <v>1</v>
      </c>
      <c r="AB28" s="1388">
        <f t="shared" si="4"/>
        <v>1</v>
      </c>
      <c r="AC28" s="1388">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1"/>
      <c r="Q29" s="1384">
        <f t="shared" si="8"/>
        <v>111</v>
      </c>
      <c r="R29" s="1385" t="s">
        <v>8</v>
      </c>
      <c r="S29" s="1386">
        <f t="shared" si="9"/>
        <v>100</v>
      </c>
      <c r="T29" s="1385" t="s">
        <v>8</v>
      </c>
      <c r="U29" s="1386">
        <f t="shared" si="10"/>
        <v>100</v>
      </c>
      <c r="V29" s="1385" t="s">
        <v>8</v>
      </c>
      <c r="W29" s="1386">
        <f t="shared" si="11"/>
        <v>100</v>
      </c>
      <c r="X29" s="1379"/>
      <c r="Y29" s="3921"/>
      <c r="Z29" s="1387">
        <f t="shared" si="12"/>
        <v>111</v>
      </c>
      <c r="AA29" s="1388">
        <f t="shared" si="3"/>
        <v>1</v>
      </c>
      <c r="AB29" s="1388">
        <f t="shared" si="4"/>
        <v>1</v>
      </c>
      <c r="AC29" s="1388">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1"/>
      <c r="Q30" s="1384">
        <f t="shared" si="8"/>
        <v>111</v>
      </c>
      <c r="R30" s="1385" t="s">
        <v>8</v>
      </c>
      <c r="S30" s="1386">
        <f t="shared" si="9"/>
        <v>100</v>
      </c>
      <c r="T30" s="1385" t="s">
        <v>8</v>
      </c>
      <c r="U30" s="1386">
        <f t="shared" si="10"/>
        <v>100</v>
      </c>
      <c r="V30" s="1385" t="s">
        <v>8</v>
      </c>
      <c r="W30" s="1386">
        <f t="shared" si="11"/>
        <v>100</v>
      </c>
      <c r="X30" s="1379"/>
      <c r="Y30" s="3921"/>
      <c r="Z30" s="1387">
        <f t="shared" si="12"/>
        <v>111</v>
      </c>
      <c r="AA30" s="1388">
        <f t="shared" si="3"/>
        <v>1</v>
      </c>
      <c r="AB30" s="1388">
        <f t="shared" si="4"/>
        <v>1</v>
      </c>
      <c r="AC30" s="138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1"/>
      <c r="Q31" s="1384">
        <f t="shared" si="8"/>
        <v>111</v>
      </c>
      <c r="R31" s="1385" t="s">
        <v>8</v>
      </c>
      <c r="S31" s="1386">
        <f t="shared" si="9"/>
        <v>100</v>
      </c>
      <c r="T31" s="1385" t="s">
        <v>8</v>
      </c>
      <c r="U31" s="1386">
        <f t="shared" si="10"/>
        <v>100</v>
      </c>
      <c r="V31" s="1385" t="s">
        <v>8</v>
      </c>
      <c r="W31" s="1386">
        <f t="shared" si="11"/>
        <v>100</v>
      </c>
      <c r="X31" s="1379"/>
      <c r="Y31" s="3921"/>
      <c r="Z31" s="1387">
        <f t="shared" si="12"/>
        <v>111</v>
      </c>
      <c r="AA31" s="1388">
        <f t="shared" si="3"/>
        <v>1</v>
      </c>
      <c r="AB31" s="1388">
        <f t="shared" si="4"/>
        <v>1</v>
      </c>
      <c r="AC31" s="1388">
        <f t="shared" si="5"/>
        <v>1</v>
      </c>
    </row>
    <row r="32" spans="1:29" ht="15">
      <c r="A32" s="2386" t="s">
        <v>2034</v>
      </c>
      <c r="B32" s="165" t="s">
        <v>672</v>
      </c>
      <c r="C32" s="841" t="s">
        <v>3381</v>
      </c>
      <c r="D32" s="567">
        <v>100</v>
      </c>
      <c r="E32" s="841" t="s">
        <v>3381</v>
      </c>
      <c r="F32" s="545">
        <f>SUMIF(100:100,E32,101:101)-SUMIF(100:100,C32,101:101)+100</f>
        <v>100</v>
      </c>
      <c r="G32" s="841" t="s">
        <v>3381</v>
      </c>
      <c r="H32" s="567">
        <f>SUMIF(100:100,G32,101:101)-SUMIF(100:100,C32,101:101)+100</f>
        <v>100</v>
      </c>
      <c r="I32" s="841" t="s">
        <v>3381</v>
      </c>
      <c r="J32" s="510">
        <f>SUMIF(100:100,I32,101:101)-SUMIF(100:100,C32,101:101)+100</f>
        <v>100</v>
      </c>
      <c r="K32" s="827">
        <v>2</v>
      </c>
      <c r="L32" s="1864"/>
      <c r="M32" s="1856"/>
      <c r="N32" s="1856"/>
      <c r="O32" s="1863"/>
      <c r="P32" s="3922" t="s">
        <v>499</v>
      </c>
      <c r="Q32" s="1384" t="str">
        <f t="shared" si="8"/>
        <v>建筑类型</v>
      </c>
      <c r="R32" s="1385" t="s">
        <v>8</v>
      </c>
      <c r="S32" s="1386">
        <f t="shared" si="9"/>
        <v>100</v>
      </c>
      <c r="T32" s="1385" t="s">
        <v>8</v>
      </c>
      <c r="U32" s="1386">
        <f t="shared" si="10"/>
        <v>100</v>
      </c>
      <c r="V32" s="1385" t="s">
        <v>8</v>
      </c>
      <c r="W32" s="1386">
        <f t="shared" si="11"/>
        <v>100</v>
      </c>
      <c r="X32" s="1379"/>
      <c r="Y32" s="3923"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923"/>
      <c r="Q33" s="1413" t="str">
        <f t="shared" si="8"/>
        <v>项目建筑规模</v>
      </c>
      <c r="R33" s="1389" t="s">
        <v>8</v>
      </c>
      <c r="S33" s="1390">
        <f t="shared" si="9"/>
        <v>100</v>
      </c>
      <c r="T33" s="1389" t="s">
        <v>8</v>
      </c>
      <c r="U33" s="1390">
        <f t="shared" si="10"/>
        <v>100</v>
      </c>
      <c r="V33" s="1389" t="s">
        <v>8</v>
      </c>
      <c r="W33" s="1390">
        <f t="shared" si="11"/>
        <v>100</v>
      </c>
      <c r="X33" s="1391"/>
      <c r="Y33" s="3923"/>
      <c r="Z33" s="1392" t="str">
        <f t="shared" si="12"/>
        <v>项目建筑规模</v>
      </c>
      <c r="AA33" s="1388">
        <f t="shared" si="3"/>
        <v>1</v>
      </c>
      <c r="AB33" s="1388">
        <f t="shared" si="4"/>
        <v>1</v>
      </c>
      <c r="AC33" s="1388">
        <f t="shared" si="5"/>
        <v>1</v>
      </c>
    </row>
    <row r="34" spans="1:29" ht="15">
      <c r="A34" s="564"/>
      <c r="B34" s="497" t="s">
        <v>674</v>
      </c>
      <c r="C34" s="843" t="s">
        <v>3479</v>
      </c>
      <c r="D34" s="510">
        <v>100</v>
      </c>
      <c r="E34" s="843" t="s">
        <v>3479</v>
      </c>
      <c r="F34" s="545">
        <f>SUMIF(105:105,E34,106:106)-SUMIF(105:105,C34,106:106)+100</f>
        <v>100</v>
      </c>
      <c r="G34" s="843" t="s">
        <v>3479</v>
      </c>
      <c r="H34" s="510">
        <f>SUMIF(105:105,G34,106:106)-SUMIF(105:105,C34,106:106)+100</f>
        <v>100</v>
      </c>
      <c r="I34" s="843" t="s">
        <v>3479</v>
      </c>
      <c r="J34" s="510">
        <f>SUMIF(105:105,I34,106:106)-SUMIF(105:105,C34,106:106)+100</f>
        <v>100</v>
      </c>
      <c r="K34" s="827">
        <v>2</v>
      </c>
      <c r="L34" s="1864"/>
      <c r="M34" s="1856"/>
      <c r="N34" s="1856"/>
      <c r="O34" s="1863"/>
      <c r="P34" s="3923"/>
      <c r="Q34" s="1384" t="str">
        <f t="shared" si="8"/>
        <v>建筑结构</v>
      </c>
      <c r="R34" s="1385" t="s">
        <v>8</v>
      </c>
      <c r="S34" s="1386">
        <f t="shared" si="9"/>
        <v>100</v>
      </c>
      <c r="T34" s="1385" t="s">
        <v>8</v>
      </c>
      <c r="U34" s="1386">
        <f t="shared" si="10"/>
        <v>100</v>
      </c>
      <c r="V34" s="1385" t="s">
        <v>8</v>
      </c>
      <c r="W34" s="1386">
        <f t="shared" si="11"/>
        <v>100</v>
      </c>
      <c r="X34" s="1379"/>
      <c r="Y34" s="3923"/>
      <c r="Z34" s="1387" t="str">
        <f t="shared" si="12"/>
        <v>建筑结构</v>
      </c>
      <c r="AA34" s="1388">
        <f t="shared" si="3"/>
        <v>1</v>
      </c>
      <c r="AB34" s="1388">
        <f t="shared" si="4"/>
        <v>1</v>
      </c>
      <c r="AC34" s="1388">
        <f t="shared" si="5"/>
        <v>1</v>
      </c>
    </row>
    <row r="35" spans="1:29" ht="15">
      <c r="A35" s="564"/>
      <c r="B35" s="497" t="s">
        <v>675</v>
      </c>
      <c r="C35" s="569" t="s">
        <v>3480</v>
      </c>
      <c r="D35" s="510">
        <v>100</v>
      </c>
      <c r="E35" s="569" t="s">
        <v>3480</v>
      </c>
      <c r="F35" s="545">
        <f>SUMIF(107:107,E35,108:108)-SUMIF(107:107,C35,108:108)+100</f>
        <v>100</v>
      </c>
      <c r="G35" s="569" t="s">
        <v>3480</v>
      </c>
      <c r="H35" s="510">
        <f>SUMIF(107:107,G35,108:108)-SUMIF(107:107,C35,108:108)+100</f>
        <v>100</v>
      </c>
      <c r="I35" s="569" t="s">
        <v>3480</v>
      </c>
      <c r="J35" s="510">
        <f>SUMIF(107:107,I35,108:108)-SUMIF(107:107,C35,108:108)+100</f>
        <v>100</v>
      </c>
      <c r="K35" s="827">
        <v>5</v>
      </c>
      <c r="L35" s="1864"/>
      <c r="M35" s="1856"/>
      <c r="N35" s="1856"/>
      <c r="O35" s="1863"/>
      <c r="P35" s="3923"/>
      <c r="Q35" s="1384" t="str">
        <f t="shared" si="8"/>
        <v>建筑品质</v>
      </c>
      <c r="R35" s="1385" t="s">
        <v>8</v>
      </c>
      <c r="S35" s="1386">
        <f t="shared" si="9"/>
        <v>100</v>
      </c>
      <c r="T35" s="1385" t="s">
        <v>8</v>
      </c>
      <c r="U35" s="1386">
        <f t="shared" si="10"/>
        <v>100</v>
      </c>
      <c r="V35" s="1385" t="s">
        <v>8</v>
      </c>
      <c r="W35" s="1386">
        <f t="shared" si="11"/>
        <v>100</v>
      </c>
      <c r="X35" s="1379"/>
      <c r="Y35" s="3923"/>
      <c r="Z35" s="1387" t="str">
        <f t="shared" si="12"/>
        <v>建筑品质</v>
      </c>
      <c r="AA35" s="1388">
        <f t="shared" si="3"/>
        <v>1</v>
      </c>
      <c r="AB35" s="1388">
        <f t="shared" si="4"/>
        <v>1</v>
      </c>
      <c r="AC35" s="1388">
        <f t="shared" si="5"/>
        <v>1</v>
      </c>
    </row>
    <row r="36" spans="1:29" ht="15">
      <c r="A36" s="564"/>
      <c r="B36" s="497" t="s">
        <v>676</v>
      </c>
      <c r="C36" s="569" t="s">
        <v>3386</v>
      </c>
      <c r="D36" s="510">
        <v>100</v>
      </c>
      <c r="E36" s="569" t="s">
        <v>3386</v>
      </c>
      <c r="F36" s="545">
        <f>SUMIF(109:109,E36,110:110)-SUMIF(109:109,C36,110:110)+100</f>
        <v>100</v>
      </c>
      <c r="G36" s="569" t="s">
        <v>3386</v>
      </c>
      <c r="H36" s="510">
        <f>SUMIF(109:109,G36,110:110)-SUMIF(109:109,C36,110:110)+100</f>
        <v>100</v>
      </c>
      <c r="I36" s="569" t="s">
        <v>3386</v>
      </c>
      <c r="J36" s="510">
        <f>SUMIF(109:109,I36,110:110)-SUMIF(109:109,C36,110:110)+100</f>
        <v>100</v>
      </c>
      <c r="K36" s="827">
        <v>2</v>
      </c>
      <c r="L36" s="1864"/>
      <c r="M36" s="1856"/>
      <c r="N36" s="1856"/>
      <c r="O36" s="1863"/>
      <c r="P36" s="3923"/>
      <c r="Q36" s="1384" t="str">
        <f t="shared" si="8"/>
        <v>公共部分装修</v>
      </c>
      <c r="R36" s="1385" t="s">
        <v>8</v>
      </c>
      <c r="S36" s="1386">
        <f t="shared" si="9"/>
        <v>100</v>
      </c>
      <c r="T36" s="1385" t="s">
        <v>8</v>
      </c>
      <c r="U36" s="1386">
        <f t="shared" si="10"/>
        <v>100</v>
      </c>
      <c r="V36" s="1385" t="s">
        <v>8</v>
      </c>
      <c r="W36" s="1386">
        <f t="shared" si="11"/>
        <v>100</v>
      </c>
      <c r="X36" s="1379"/>
      <c r="Y36" s="3923"/>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7"/>
      <c r="M37" s="1858"/>
      <c r="N37" s="1858"/>
      <c r="O37" s="1859"/>
      <c r="P37" s="3923"/>
      <c r="Q37" s="1049" t="str">
        <f t="shared" si="8"/>
        <v>成新度</v>
      </c>
      <c r="R37" s="1380" t="s">
        <v>8</v>
      </c>
      <c r="S37" s="1381">
        <f t="shared" si="9"/>
        <v>100</v>
      </c>
      <c r="T37" s="1380" t="s">
        <v>8</v>
      </c>
      <c r="U37" s="1381">
        <f t="shared" si="10"/>
        <v>100</v>
      </c>
      <c r="V37" s="1380" t="s">
        <v>8</v>
      </c>
      <c r="W37" s="1381">
        <f t="shared" si="11"/>
        <v>100</v>
      </c>
      <c r="X37" s="1382"/>
      <c r="Y37" s="3923"/>
      <c r="Z37" s="1048" t="str">
        <f t="shared" si="12"/>
        <v>成新度</v>
      </c>
      <c r="AA37" s="1383">
        <f t="shared" si="3"/>
        <v>1</v>
      </c>
      <c r="AB37" s="1383">
        <f t="shared" si="4"/>
        <v>1</v>
      </c>
      <c r="AC37" s="1383">
        <f t="shared" si="5"/>
        <v>1</v>
      </c>
    </row>
    <row r="38" spans="1:29" ht="15">
      <c r="A38" s="564"/>
      <c r="B38" s="497" t="s">
        <v>678</v>
      </c>
      <c r="C38" s="569" t="s">
        <v>3481</v>
      </c>
      <c r="D38" s="510">
        <v>100</v>
      </c>
      <c r="E38" s="569" t="s">
        <v>3481</v>
      </c>
      <c r="F38" s="545">
        <f>SUMIF(114:114,E38,115:115)-SUMIF(114:114,C38,115:115)+100</f>
        <v>100</v>
      </c>
      <c r="G38" s="569" t="s">
        <v>3481</v>
      </c>
      <c r="H38" s="510">
        <f>SUMIF(114:114,G38,115:115)-SUMIF(114:114,C38,115:115)+100</f>
        <v>100</v>
      </c>
      <c r="I38" s="569" t="s">
        <v>3481</v>
      </c>
      <c r="J38" s="510">
        <f>SUMIF(114:114,I38,115:115)-SUMIF(114:114,C38,115:115)+100</f>
        <v>100</v>
      </c>
      <c r="K38" s="827">
        <v>2</v>
      </c>
      <c r="L38" s="1864"/>
      <c r="M38" s="1856"/>
      <c r="N38" s="1856"/>
      <c r="O38" s="1863"/>
      <c r="P38" s="3923" t="s">
        <v>499</v>
      </c>
      <c r="Q38" s="1384" t="str">
        <f t="shared" si="8"/>
        <v>物业管理</v>
      </c>
      <c r="R38" s="1385" t="s">
        <v>8</v>
      </c>
      <c r="S38" s="1386">
        <f t="shared" si="9"/>
        <v>100</v>
      </c>
      <c r="T38" s="1385" t="s">
        <v>8</v>
      </c>
      <c r="U38" s="1386">
        <f t="shared" si="10"/>
        <v>100</v>
      </c>
      <c r="V38" s="1385" t="s">
        <v>8</v>
      </c>
      <c r="W38" s="1386">
        <f t="shared" si="11"/>
        <v>100</v>
      </c>
      <c r="X38" s="1379"/>
      <c r="Y38" s="3923" t="s">
        <v>499</v>
      </c>
      <c r="Z38" s="1387" t="str">
        <f t="shared" si="12"/>
        <v>物业管理</v>
      </c>
      <c r="AA38" s="1388">
        <f t="shared" si="3"/>
        <v>1</v>
      </c>
      <c r="AB38" s="1388">
        <f t="shared" si="4"/>
        <v>1</v>
      </c>
      <c r="AC38" s="1388">
        <f t="shared" si="5"/>
        <v>1</v>
      </c>
    </row>
    <row r="39" spans="1:29" ht="15">
      <c r="A39" s="564"/>
      <c r="B39" s="1650" t="s">
        <v>1844</v>
      </c>
      <c r="C39" s="569" t="s">
        <v>3272</v>
      </c>
      <c r="D39" s="510">
        <v>100</v>
      </c>
      <c r="E39" s="569" t="s">
        <v>3272</v>
      </c>
      <c r="F39" s="545">
        <f>SUMIF(116:116,E39,117:117)-SUMIF(116:116,C39,117:117)+100</f>
        <v>100</v>
      </c>
      <c r="G39" s="569" t="s">
        <v>3272</v>
      </c>
      <c r="H39" s="510">
        <f>SUMIF(116:116,G39,117:117)-SUMIF(116:116,C39,117:117)+100</f>
        <v>100</v>
      </c>
      <c r="I39" s="569" t="s">
        <v>3272</v>
      </c>
      <c r="J39" s="510">
        <f>SUMIF(116:116,I39,117:117)-SUMIF(116:116,C39,117:117)+100</f>
        <v>100</v>
      </c>
      <c r="K39" s="827">
        <v>1</v>
      </c>
      <c r="L39" s="1864"/>
      <c r="M39" s="1856"/>
      <c r="N39" s="1856"/>
      <c r="O39" s="1863"/>
      <c r="P39" s="3923"/>
      <c r="Q39" s="1384" t="str">
        <f t="shared" si="8"/>
        <v>市政基础设施</v>
      </c>
      <c r="R39" s="1385" t="s">
        <v>8</v>
      </c>
      <c r="S39" s="1386">
        <f t="shared" si="9"/>
        <v>100</v>
      </c>
      <c r="T39" s="1385" t="s">
        <v>8</v>
      </c>
      <c r="U39" s="1386">
        <f t="shared" si="10"/>
        <v>100</v>
      </c>
      <c r="V39" s="1385" t="s">
        <v>8</v>
      </c>
      <c r="W39" s="1386">
        <f t="shared" si="11"/>
        <v>100</v>
      </c>
      <c r="X39" s="1379"/>
      <c r="Y39" s="3923"/>
      <c r="Z39" s="1387" t="str">
        <f t="shared" si="12"/>
        <v>市政基础设施</v>
      </c>
      <c r="AA39" s="1388">
        <f t="shared" si="3"/>
        <v>1</v>
      </c>
      <c r="AB39" s="1388">
        <f t="shared" si="4"/>
        <v>1</v>
      </c>
      <c r="AC39" s="1388">
        <f t="shared" si="5"/>
        <v>1</v>
      </c>
    </row>
    <row r="40" spans="1:29" ht="15" hidden="1">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4"/>
      <c r="M40" s="1856"/>
      <c r="N40" s="1856"/>
      <c r="O40" s="1863"/>
      <c r="P40" s="3923"/>
      <c r="Q40" s="1384" t="str">
        <f t="shared" si="8"/>
        <v>房型</v>
      </c>
      <c r="R40" s="1385" t="s">
        <v>8</v>
      </c>
      <c r="S40" s="1386">
        <f t="shared" si="9"/>
        <v>100</v>
      </c>
      <c r="T40" s="1385" t="s">
        <v>8</v>
      </c>
      <c r="U40" s="1386">
        <f t="shared" si="10"/>
        <v>100</v>
      </c>
      <c r="V40" s="1385" t="s">
        <v>8</v>
      </c>
      <c r="W40" s="1386">
        <f t="shared" si="11"/>
        <v>100</v>
      </c>
      <c r="X40" s="1379"/>
      <c r="Y40" s="3923"/>
      <c r="Z40" s="1387" t="str">
        <f t="shared" si="12"/>
        <v>房型</v>
      </c>
      <c r="AA40" s="1388">
        <f t="shared" si="3"/>
        <v>1</v>
      </c>
      <c r="AB40" s="1388">
        <f t="shared" si="4"/>
        <v>1</v>
      </c>
      <c r="AC40" s="1388">
        <f t="shared" si="5"/>
        <v>1</v>
      </c>
    </row>
    <row r="41" spans="1:29" s="1199" customFormat="1" ht="28.5" hidden="1">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2"/>
      <c r="M41" s="1892"/>
      <c r="N41" s="1892"/>
      <c r="O41" s="1865"/>
      <c r="P41" s="3923"/>
      <c r="Q41" s="1413" t="str">
        <f t="shared" si="8"/>
        <v>单套/主力户型建筑面积</v>
      </c>
      <c r="R41" s="1389" t="s">
        <v>8</v>
      </c>
      <c r="S41" s="1390">
        <f t="shared" si="9"/>
        <v>100</v>
      </c>
      <c r="T41" s="1389" t="s">
        <v>8</v>
      </c>
      <c r="U41" s="1390">
        <f t="shared" si="10"/>
        <v>100</v>
      </c>
      <c r="V41" s="1389" t="s">
        <v>8</v>
      </c>
      <c r="W41" s="1390">
        <f t="shared" si="11"/>
        <v>100</v>
      </c>
      <c r="X41" s="1391"/>
      <c r="Y41" s="3923"/>
      <c r="Z41" s="1392" t="str">
        <f t="shared" si="12"/>
        <v>单套/主力户型建筑面积</v>
      </c>
      <c r="AA41" s="1388">
        <f t="shared" si="3"/>
        <v>1</v>
      </c>
      <c r="AB41" s="1388">
        <f t="shared" si="4"/>
        <v>1</v>
      </c>
      <c r="AC41" s="1388">
        <f t="shared" si="5"/>
        <v>1</v>
      </c>
    </row>
    <row r="42" spans="1:29" ht="15">
      <c r="A42" s="564"/>
      <c r="B42" s="497" t="s">
        <v>681</v>
      </c>
      <c r="C42" s="569" t="s">
        <v>3386</v>
      </c>
      <c r="D42" s="510">
        <v>100</v>
      </c>
      <c r="E42" s="569" t="s">
        <v>3386</v>
      </c>
      <c r="F42" s="545">
        <f>SUMIF(122:122,E42,123:123)-SUMIF(122:122,C42,123:123)+100</f>
        <v>100</v>
      </c>
      <c r="G42" s="569" t="s">
        <v>3386</v>
      </c>
      <c r="H42" s="510">
        <f>SUMIF(122:122,G42,123:123)-SUMIF(122:122,C42,123:123)+100</f>
        <v>100</v>
      </c>
      <c r="I42" s="569" t="s">
        <v>3560</v>
      </c>
      <c r="J42" s="510">
        <f>SUMIF(122:122,I42,123:123)-SUMIF(122:122,C42,123:123)+100</f>
        <v>91</v>
      </c>
      <c r="K42" s="827">
        <v>3</v>
      </c>
      <c r="L42" s="1864"/>
      <c r="M42" s="1856"/>
      <c r="N42" s="1856"/>
      <c r="O42" s="1863"/>
      <c r="P42" s="3923"/>
      <c r="Q42" s="1384" t="str">
        <f t="shared" si="8"/>
        <v>内部装修</v>
      </c>
      <c r="R42" s="1385" t="s">
        <v>8</v>
      </c>
      <c r="S42" s="1386">
        <f t="shared" si="9"/>
        <v>100</v>
      </c>
      <c r="T42" s="1385" t="s">
        <v>8</v>
      </c>
      <c r="U42" s="1386">
        <f t="shared" si="10"/>
        <v>100</v>
      </c>
      <c r="V42" s="1385" t="s">
        <v>8</v>
      </c>
      <c r="W42" s="1386">
        <f t="shared" si="11"/>
        <v>91</v>
      </c>
      <c r="X42" s="1379"/>
      <c r="Y42" s="3923"/>
      <c r="Z42" s="1387" t="str">
        <f t="shared" si="12"/>
        <v>内部装修</v>
      </c>
      <c r="AA42" s="1388">
        <f t="shared" si="3"/>
        <v>1</v>
      </c>
      <c r="AB42" s="1388">
        <f t="shared" si="4"/>
        <v>1</v>
      </c>
      <c r="AC42" s="1388">
        <f t="shared" si="5"/>
        <v>1.098901098901099</v>
      </c>
    </row>
    <row r="43" spans="1:29" ht="27.75" thickBot="1">
      <c r="A43" s="564"/>
      <c r="B43" s="497" t="s">
        <v>682</v>
      </c>
      <c r="C43" s="569" t="s">
        <v>3270</v>
      </c>
      <c r="D43" s="510">
        <v>100</v>
      </c>
      <c r="E43" s="569" t="s">
        <v>3270</v>
      </c>
      <c r="F43" s="545">
        <f>SUMIF(124:124,E43,125:125)-SUMIF(124:124,C43,125:125)+100</f>
        <v>100</v>
      </c>
      <c r="G43" s="569" t="s">
        <v>3270</v>
      </c>
      <c r="H43" s="510">
        <f>SUMIF(124:124,G43,125:125)-SUMIF(124:124,C43,125:125)+100</f>
        <v>100</v>
      </c>
      <c r="I43" s="569" t="s">
        <v>3270</v>
      </c>
      <c r="J43" s="510">
        <f>SUMIF(124:124,I43,125:125)-SUMIF(124:124,C43,125:125)+100</f>
        <v>100</v>
      </c>
      <c r="K43" s="827">
        <v>2</v>
      </c>
      <c r="L43" s="1864"/>
      <c r="M43" s="1856"/>
      <c r="N43" s="1856"/>
      <c r="O43" s="1863"/>
      <c r="P43" s="3923"/>
      <c r="Q43" s="1384" t="str">
        <f t="shared" si="8"/>
        <v>内部装修维护情况</v>
      </c>
      <c r="R43" s="1385" t="s">
        <v>8</v>
      </c>
      <c r="S43" s="1386">
        <f t="shared" si="9"/>
        <v>100</v>
      </c>
      <c r="T43" s="1385" t="s">
        <v>8</v>
      </c>
      <c r="U43" s="1386">
        <f t="shared" si="10"/>
        <v>100</v>
      </c>
      <c r="V43" s="1385" t="s">
        <v>8</v>
      </c>
      <c r="W43" s="1386">
        <f t="shared" si="11"/>
        <v>100</v>
      </c>
      <c r="X43" s="1379"/>
      <c r="Y43" s="3923"/>
      <c r="Z43" s="1387" t="str">
        <f t="shared" si="12"/>
        <v>内部装修维护情况</v>
      </c>
      <c r="AA43" s="1388">
        <f t="shared" si="3"/>
        <v>1</v>
      </c>
      <c r="AB43" s="1388">
        <f t="shared" si="4"/>
        <v>1</v>
      </c>
      <c r="AC43" s="1388">
        <f t="shared" si="5"/>
        <v>1</v>
      </c>
    </row>
    <row r="44" spans="1:29" s="1117" customFormat="1" ht="15" hidden="1">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923"/>
      <c r="Q44" s="1049">
        <f t="shared" si="8"/>
        <v>111</v>
      </c>
      <c r="R44" s="1380" t="s">
        <v>8</v>
      </c>
      <c r="S44" s="1381">
        <f t="shared" si="9"/>
        <v>100</v>
      </c>
      <c r="T44" s="1380" t="s">
        <v>8</v>
      </c>
      <c r="U44" s="1381">
        <f t="shared" si="10"/>
        <v>100</v>
      </c>
      <c r="V44" s="1380" t="s">
        <v>8</v>
      </c>
      <c r="W44" s="1381">
        <f t="shared" si="11"/>
        <v>100</v>
      </c>
      <c r="X44" s="1382"/>
      <c r="Y44" s="3923"/>
      <c r="Z44" s="1048">
        <f t="shared" si="12"/>
        <v>111</v>
      </c>
      <c r="AA44" s="1383">
        <f t="shared" si="3"/>
        <v>1</v>
      </c>
      <c r="AB44" s="1383">
        <f t="shared" si="4"/>
        <v>1</v>
      </c>
      <c r="AC44" s="1383">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23"/>
      <c r="Q45" s="1384">
        <f t="shared" si="8"/>
        <v>111</v>
      </c>
      <c r="R45" s="1385" t="s">
        <v>8</v>
      </c>
      <c r="S45" s="1386">
        <f t="shared" si="9"/>
        <v>100</v>
      </c>
      <c r="T45" s="1385" t="s">
        <v>8</v>
      </c>
      <c r="U45" s="1386">
        <f t="shared" si="10"/>
        <v>100</v>
      </c>
      <c r="V45" s="1385" t="s">
        <v>8</v>
      </c>
      <c r="W45" s="1386">
        <f t="shared" si="11"/>
        <v>100</v>
      </c>
      <c r="X45" s="1379"/>
      <c r="Y45" s="3923"/>
      <c r="Z45" s="1387">
        <f t="shared" si="12"/>
        <v>111</v>
      </c>
      <c r="AA45" s="1388">
        <f t="shared" si="3"/>
        <v>1</v>
      </c>
      <c r="AB45" s="1388">
        <f t="shared" si="4"/>
        <v>1</v>
      </c>
      <c r="AC45" s="1388">
        <f t="shared" si="5"/>
        <v>1</v>
      </c>
    </row>
    <row r="46" spans="1:29" ht="15.75" hidden="1"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35"/>
      <c r="Q46" s="1384">
        <f t="shared" si="8"/>
        <v>111</v>
      </c>
      <c r="R46" s="1385" t="s">
        <v>7</v>
      </c>
      <c r="S46" s="1386">
        <f t="shared" si="9"/>
        <v>100</v>
      </c>
      <c r="T46" s="1385" t="s">
        <v>7</v>
      </c>
      <c r="U46" s="1386">
        <f t="shared" si="10"/>
        <v>100</v>
      </c>
      <c r="V46" s="1385" t="s">
        <v>7</v>
      </c>
      <c r="W46" s="1386">
        <f t="shared" si="11"/>
        <v>100</v>
      </c>
      <c r="X46" s="1379"/>
      <c r="Y46" s="4035"/>
      <c r="Z46" s="1387">
        <f t="shared" si="12"/>
        <v>111</v>
      </c>
      <c r="AA46" s="1388">
        <f t="shared" si="3"/>
        <v>1</v>
      </c>
      <c r="AB46" s="1388">
        <f t="shared" si="4"/>
        <v>1</v>
      </c>
      <c r="AC46" s="1388">
        <f t="shared" si="5"/>
        <v>1</v>
      </c>
    </row>
    <row r="47" spans="1:29" ht="15">
      <c r="A47" s="577" t="s">
        <v>683</v>
      </c>
      <c r="B47" s="849"/>
      <c r="C47" s="2233" t="s">
        <v>6</v>
      </c>
      <c r="D47" s="2234"/>
      <c r="E47" s="2235">
        <f>'住宅-案例'!C2</f>
        <v>32242</v>
      </c>
      <c r="F47" s="2236"/>
      <c r="G47" s="2237">
        <f>'住宅-案例'!C3</f>
        <v>33327</v>
      </c>
      <c r="H47" s="2238"/>
      <c r="I47" s="2235">
        <f>'住宅-案例'!C4</f>
        <v>29143</v>
      </c>
      <c r="J47" s="2238"/>
      <c r="K47" s="1414"/>
      <c r="L47" s="1866"/>
      <c r="M47" s="1867"/>
      <c r="N47" s="1856"/>
      <c r="O47" s="1867"/>
      <c r="P47" s="3918" t="str">
        <f>A47</f>
        <v>成交单价（元/平方米）</v>
      </c>
      <c r="Q47" s="3918"/>
      <c r="R47" s="4034">
        <f>E47</f>
        <v>32242</v>
      </c>
      <c r="S47" s="4034"/>
      <c r="T47" s="4034">
        <f>G47</f>
        <v>33327</v>
      </c>
      <c r="U47" s="4034"/>
      <c r="V47" s="4034">
        <f>I47</f>
        <v>29143</v>
      </c>
      <c r="W47" s="4034"/>
      <c r="X47" s="1374"/>
      <c r="Y47" s="1393"/>
      <c r="Z47" s="1374"/>
      <c r="AA47" s="1374"/>
      <c r="AB47" s="1374"/>
      <c r="AC47" s="1374"/>
    </row>
    <row r="48" spans="1:29" ht="15.75" thickBot="1">
      <c r="A48" s="585" t="s">
        <v>2039</v>
      </c>
      <c r="B48" s="850"/>
      <c r="C48" s="2239">
        <f>R49</f>
        <v>32117</v>
      </c>
      <c r="D48" s="2756" t="s">
        <v>2253</v>
      </c>
      <c r="E48" s="2240">
        <f>R48</f>
        <v>32242</v>
      </c>
      <c r="F48" s="2757"/>
      <c r="G48" s="2239">
        <f>T48</f>
        <v>33327</v>
      </c>
      <c r="H48" s="2757"/>
      <c r="I48" s="2240">
        <f>V48</f>
        <v>30782</v>
      </c>
      <c r="J48" s="2757"/>
      <c r="K48" s="2765">
        <f>F48+H48+J48</f>
        <v>0</v>
      </c>
      <c r="L48" s="1866"/>
      <c r="M48" s="1867"/>
      <c r="N48" s="1867"/>
      <c r="O48" s="1867"/>
      <c r="P48" s="3918" t="str">
        <f>A48</f>
        <v>比较价格（元/平方米）</v>
      </c>
      <c r="Q48" s="3918"/>
      <c r="R48" s="4034">
        <f>IF(F1="售价",ROUND(PRODUCT(R47,AA7:AA46),0),ROUND(PRODUCT(R47,AA7:AA46),1))</f>
        <v>32242</v>
      </c>
      <c r="S48" s="4034"/>
      <c r="T48" s="4034">
        <f>IF(F1="售价",ROUND(PRODUCT(T47,AB7:AB46),0),ROUND(PRODUCT(T47,AB7:AB46),1))</f>
        <v>33327</v>
      </c>
      <c r="U48" s="4034"/>
      <c r="V48" s="4034">
        <f>IF(F1="售价",ROUND(PRODUCT(V47,AC7:AC46),0),ROUND(PRODUCT(V47,AC7:AC46),1))</f>
        <v>30782</v>
      </c>
      <c r="W48" s="4034"/>
      <c r="X48" s="1374"/>
      <c r="Y48" s="1374"/>
      <c r="Z48" s="1374"/>
      <c r="AA48" s="1374"/>
      <c r="AB48" s="1374"/>
      <c r="AC48" s="1374"/>
    </row>
    <row r="49" spans="1:29" ht="15.75" thickBot="1">
      <c r="A49" s="589" t="s">
        <v>2190</v>
      </c>
      <c r="B49" s="590"/>
      <c r="C49" s="2241">
        <f>R49</f>
        <v>32117</v>
      </c>
      <c r="D49" s="2241"/>
      <c r="E49" s="2241"/>
      <c r="F49" s="2241"/>
      <c r="G49" s="2241"/>
      <c r="H49" s="2241"/>
      <c r="I49" s="2241"/>
      <c r="J49" s="2241"/>
      <c r="K49" s="1415"/>
      <c r="L49" s="1866"/>
      <c r="M49" s="1867"/>
      <c r="N49" s="1867"/>
      <c r="O49" s="1867"/>
      <c r="P49" s="3924" t="str">
        <f>A49</f>
        <v>估价对象XX用房的比较价格（楼面单价，元/平方米）</v>
      </c>
      <c r="Q49" s="3925"/>
      <c r="R49" s="4033">
        <f>IF(F1="售价",ROUND(IF(D48="简单平均",AVERAGE(R48:V48),R48*F48+T48*H48+V48*J48),0),ROUND(IF(D48="简单平均",AVERAGE(R48:V48),R48*F48+T48*H48+V48*J48),1))</f>
        <v>32117</v>
      </c>
      <c r="S49" s="4033"/>
      <c r="T49" s="4033"/>
      <c r="U49" s="4033"/>
      <c r="V49" s="4033"/>
      <c r="W49" s="403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0</v>
      </c>
      <c r="F52" s="595" t="str">
        <f>IF(OR(E52&gt;=0.3,E52&lt;=-0.3),"超过30%","")</f>
        <v/>
      </c>
      <c r="G52" s="594">
        <f>IF(G47&lt;G48,G48/G47-1,G47/G48-1)</f>
        <v>0</v>
      </c>
      <c r="H52" s="595" t="str">
        <f>IF(OR(G52&gt;=0.3,G52&lt;=-0.3),"超过30%","")</f>
        <v/>
      </c>
      <c r="I52" s="594">
        <f>IF(I47&lt;I48,I48/I47-1,I47/I48-1)</f>
        <v>5.6239920392546994E-2</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3.365175857577074E-2</v>
      </c>
      <c r="F53" s="595" t="str">
        <f>IF(OR(E53&gt;=0.2,E53&lt;=-0.2),"超过20%","")</f>
        <v/>
      </c>
      <c r="G53" s="594">
        <f>IF(G48&lt;I48,I48/G48-1,G48/I48-1)</f>
        <v>8.2678188551751131E-2</v>
      </c>
      <c r="H53" s="595" t="str">
        <f>IF(OR(G53&gt;=0.2,G53&lt;=-0.2),"超过20%","")</f>
        <v/>
      </c>
      <c r="I53" s="594">
        <f>IF(I48&lt;E48,E48/I48-1,I48/E48-1)</f>
        <v>4.7430316418686225E-2</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3.365175857577074E-2</v>
      </c>
      <c r="F54" s="595" t="str">
        <f>IF(OR(E54&gt;=0.3,E54&lt;=-0.3),"超过30%","")</f>
        <v/>
      </c>
      <c r="G54" s="594">
        <f>IF(G47&lt;I47,I47/G47-1,G47/I47-1)</f>
        <v>0.1435679236866485</v>
      </c>
      <c r="H54" s="595" t="str">
        <f>IF(OR(G54&gt;=0.3,G54&lt;=-0.3),"超过30%","")</f>
        <v/>
      </c>
      <c r="I54" s="594">
        <f>IF(I47&lt;E47,E47/I47-1,I47/E47-1)</f>
        <v>0.10633771403081349</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3681" t="s">
        <v>3378</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v>100</v>
      </c>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98</v>
      </c>
      <c r="E77" s="647">
        <f>D77-$K15</f>
        <v>96</v>
      </c>
      <c r="F77" s="647">
        <f>E77-$K15</f>
        <v>94</v>
      </c>
      <c r="G77" s="647">
        <f>F77-$K15</f>
        <v>92</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1615</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3379</v>
      </c>
      <c r="D100" s="3678" t="s">
        <v>3380</v>
      </c>
      <c r="E100" s="3678" t="s">
        <v>3382</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3383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3384</v>
      </c>
      <c r="D107" s="3679" t="s">
        <v>3385</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95</v>
      </c>
      <c r="E108" s="647">
        <f t="shared" si="21"/>
        <v>90</v>
      </c>
      <c r="F108" s="647">
        <f t="shared" si="21"/>
        <v>85</v>
      </c>
      <c r="G108" s="647">
        <f t="shared" si="21"/>
        <v>80</v>
      </c>
      <c r="H108" s="647">
        <f t="shared" si="21"/>
        <v>75</v>
      </c>
      <c r="I108" s="647">
        <f t="shared" si="21"/>
        <v>70</v>
      </c>
      <c r="J108" s="647">
        <f t="shared" si="21"/>
        <v>65</v>
      </c>
      <c r="K108" s="647">
        <f t="shared" si="21"/>
        <v>60</v>
      </c>
      <c r="L108" s="647">
        <f t="shared" si="21"/>
        <v>55</v>
      </c>
      <c r="M108" s="647">
        <f t="shared" si="21"/>
        <v>50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3387</v>
      </c>
      <c r="D109" s="3680" t="s">
        <v>3388</v>
      </c>
      <c r="E109" s="3680" t="s">
        <v>3389</v>
      </c>
      <c r="F109" s="3679" t="s">
        <v>3390</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3391</v>
      </c>
      <c r="D114" s="3680" t="s">
        <v>3392</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97</v>
      </c>
      <c r="E123" s="647">
        <f t="shared" si="25"/>
        <v>94</v>
      </c>
      <c r="F123" s="647">
        <f t="shared" si="25"/>
        <v>91</v>
      </c>
      <c r="G123" s="647">
        <f t="shared" si="25"/>
        <v>88</v>
      </c>
      <c r="H123" s="647">
        <f t="shared" si="25"/>
        <v>85</v>
      </c>
      <c r="I123" s="647">
        <f t="shared" si="25"/>
        <v>82</v>
      </c>
      <c r="J123" s="647">
        <f t="shared" si="25"/>
        <v>79</v>
      </c>
      <c r="K123" s="647">
        <f t="shared" si="25"/>
        <v>76</v>
      </c>
      <c r="L123" s="647">
        <f t="shared" si="25"/>
        <v>73</v>
      </c>
      <c r="M123" s="647">
        <f t="shared" si="25"/>
        <v>70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926" t="s">
        <v>471</v>
      </c>
      <c r="D4" s="3927"/>
      <c r="E4" s="3952" t="s">
        <v>472</v>
      </c>
      <c r="F4" s="3953"/>
      <c r="G4" s="3926" t="s">
        <v>473</v>
      </c>
      <c r="H4" s="3927"/>
      <c r="I4" s="3926" t="s">
        <v>474</v>
      </c>
      <c r="J4" s="3927"/>
      <c r="K4" s="484" t="s">
        <v>475</v>
      </c>
      <c r="L4" s="1855"/>
      <c r="M4" s="1856"/>
      <c r="N4" s="1856"/>
      <c r="O4" s="1856"/>
      <c r="P4" s="4036" t="s">
        <v>476</v>
      </c>
      <c r="Q4" s="3929"/>
      <c r="R4" s="3912" t="s">
        <v>472</v>
      </c>
      <c r="S4" s="3913"/>
      <c r="T4" s="3912" t="s">
        <v>473</v>
      </c>
      <c r="U4" s="3913"/>
      <c r="V4" s="3934" t="s">
        <v>474</v>
      </c>
      <c r="W4" s="3934"/>
      <c r="X4" s="1379"/>
      <c r="Y4" s="3912" t="s">
        <v>476</v>
      </c>
      <c r="Z4" s="3913"/>
      <c r="AA4" s="3907" t="s">
        <v>472</v>
      </c>
      <c r="AB4" s="3907" t="s">
        <v>473</v>
      </c>
      <c r="AC4" s="3907" t="s">
        <v>474</v>
      </c>
    </row>
    <row r="5" spans="1:29" ht="15">
      <c r="A5" s="485"/>
      <c r="B5" s="486"/>
      <c r="C5" s="3937" t="s">
        <v>2184</v>
      </c>
      <c r="D5" s="3938"/>
      <c r="E5" s="3954" t="s">
        <v>2185</v>
      </c>
      <c r="F5" s="3955"/>
      <c r="G5" s="3937" t="s">
        <v>2186</v>
      </c>
      <c r="H5" s="3938"/>
      <c r="I5" s="3937" t="s">
        <v>2187</v>
      </c>
      <c r="J5" s="3938"/>
      <c r="K5" s="484"/>
      <c r="L5" s="1855"/>
      <c r="M5" s="1856"/>
      <c r="N5" s="1856"/>
      <c r="O5" s="1856"/>
      <c r="P5" s="4037"/>
      <c r="Q5" s="3931"/>
      <c r="R5" s="3914"/>
      <c r="S5" s="3915"/>
      <c r="T5" s="3914"/>
      <c r="U5" s="3915"/>
      <c r="V5" s="3934"/>
      <c r="W5" s="3934"/>
      <c r="X5" s="1379"/>
      <c r="Y5" s="3914"/>
      <c r="Z5" s="3915"/>
      <c r="AA5" s="3908"/>
      <c r="AB5" s="3908"/>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4038"/>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19" t="s">
        <v>479</v>
      </c>
      <c r="Q7" s="3919"/>
      <c r="R7" s="1380" t="s">
        <v>5</v>
      </c>
      <c r="S7" s="1381">
        <f t="shared" ref="S7:S15" si="0">F7</f>
        <v>0</v>
      </c>
      <c r="T7" s="1380" t="s">
        <v>5</v>
      </c>
      <c r="U7" s="1381">
        <f t="shared" ref="U7:U15" si="1">H7</f>
        <v>0</v>
      </c>
      <c r="V7" s="1380" t="s">
        <v>5</v>
      </c>
      <c r="W7" s="1381">
        <f t="shared" ref="W7:W15"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19" t="s">
        <v>482</v>
      </c>
      <c r="Q8" s="3911"/>
      <c r="R8" s="1380" t="s">
        <v>5</v>
      </c>
      <c r="S8" s="1381">
        <f t="shared" si="0"/>
        <v>0</v>
      </c>
      <c r="T8" s="1380" t="s">
        <v>5</v>
      </c>
      <c r="U8" s="1381">
        <f t="shared" si="1"/>
        <v>0</v>
      </c>
      <c r="V8" s="1380" t="s">
        <v>5</v>
      </c>
      <c r="W8" s="1381">
        <f t="shared" si="2"/>
        <v>0</v>
      </c>
      <c r="X8" s="1382"/>
      <c r="Y8" s="3910" t="s">
        <v>482</v>
      </c>
      <c r="Z8" s="3911"/>
      <c r="AA8" s="1383" t="e">
        <f t="shared" ref="AA8:AA47" si="3">D8/F8</f>
        <v>#DIV/0!</v>
      </c>
      <c r="AB8" s="1383" t="e">
        <f t="shared" ref="AB8:AB47" si="4">D8/H8</f>
        <v>#DIV/0!</v>
      </c>
      <c r="AC8" s="1383" t="e">
        <f t="shared" ref="AC8:AC47" si="5">D8/J8</f>
        <v>#DIV/0!</v>
      </c>
    </row>
    <row r="9" spans="1:29" s="1117" customFormat="1" ht="15">
      <c r="A9" s="2393"/>
      <c r="B9" s="2400" t="s">
        <v>2035</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18"/>
      <c r="Q11" s="1049" t="str">
        <f t="shared" si="6"/>
        <v>容积率</v>
      </c>
      <c r="R11" s="1380" t="s">
        <v>5</v>
      </c>
      <c r="S11" s="1381" t="e">
        <f t="shared" si="0"/>
        <v>#N/A</v>
      </c>
      <c r="T11" s="1380" t="s">
        <v>5</v>
      </c>
      <c r="U11" s="1381" t="e">
        <f t="shared" si="1"/>
        <v>#N/A</v>
      </c>
      <c r="V11" s="1380" t="s">
        <v>5</v>
      </c>
      <c r="W11" s="1381" t="e">
        <f t="shared" si="2"/>
        <v>#N/A</v>
      </c>
      <c r="X11" s="1382"/>
      <c r="Y11" s="387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 t="shared" si="3"/>
        <v>1</v>
      </c>
      <c r="AB14" s="1383">
        <f t="shared" si="4"/>
        <v>1</v>
      </c>
      <c r="AC14" s="1383">
        <f t="shared" si="5"/>
        <v>1</v>
      </c>
    </row>
    <row r="15" spans="1:29" ht="15">
      <c r="A15" s="2389" t="s">
        <v>2033</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920" t="s">
        <v>489</v>
      </c>
      <c r="Q15" s="1384" t="str">
        <f t="shared" si="6"/>
        <v>办公集聚程度</v>
      </c>
      <c r="R15" s="1385" t="s">
        <v>5</v>
      </c>
      <c r="S15" s="1386">
        <f t="shared" si="0"/>
        <v>100</v>
      </c>
      <c r="T15" s="1385" t="s">
        <v>5</v>
      </c>
      <c r="U15" s="1386">
        <f t="shared" si="1"/>
        <v>100</v>
      </c>
      <c r="V15" s="1385" t="s">
        <v>5</v>
      </c>
      <c r="W15" s="1386">
        <f t="shared" si="2"/>
        <v>100</v>
      </c>
      <c r="X15" s="1379"/>
      <c r="Y15" s="3920"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921"/>
      <c r="Q16" s="1384"/>
      <c r="R16" s="1385"/>
      <c r="S16" s="1386"/>
      <c r="T16" s="1385"/>
      <c r="U16" s="1386"/>
      <c r="V16" s="1385"/>
      <c r="W16" s="1386"/>
      <c r="X16" s="1379"/>
      <c r="Y16" s="3921"/>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921"/>
      <c r="Q17" s="1384" t="str">
        <f>B17</f>
        <v>交通便捷度</v>
      </c>
      <c r="R17" s="1385" t="s">
        <v>5</v>
      </c>
      <c r="S17" s="1386">
        <f>F17</f>
        <v>100</v>
      </c>
      <c r="T17" s="1385" t="s">
        <v>5</v>
      </c>
      <c r="U17" s="1386">
        <f>H17</f>
        <v>100</v>
      </c>
      <c r="V17" s="1385" t="s">
        <v>5</v>
      </c>
      <c r="W17" s="1386">
        <f>J17</f>
        <v>100</v>
      </c>
      <c r="X17" s="1379"/>
      <c r="Y17" s="3921"/>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921"/>
      <c r="Q18" s="1384"/>
      <c r="R18" s="1385"/>
      <c r="S18" s="1386"/>
      <c r="T18" s="1385"/>
      <c r="U18" s="1386"/>
      <c r="V18" s="1385"/>
      <c r="W18" s="1386"/>
      <c r="X18" s="1379"/>
      <c r="Y18" s="3921"/>
      <c r="Z18" s="1387"/>
      <c r="AA18" s="1388">
        <v>1</v>
      </c>
      <c r="AB18" s="1388">
        <v>1</v>
      </c>
      <c r="AC18" s="1388">
        <v>1</v>
      </c>
    </row>
    <row r="19" spans="1:29" ht="15">
      <c r="A19" s="502"/>
      <c r="B19" s="2210" t="s">
        <v>1826</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921"/>
      <c r="Q19" s="1384" t="str">
        <f>B19</f>
        <v>公共配套设施</v>
      </c>
      <c r="R19" s="1385" t="s">
        <v>5</v>
      </c>
      <c r="S19" s="1386">
        <f>F19</f>
        <v>100</v>
      </c>
      <c r="T19" s="1385" t="s">
        <v>5</v>
      </c>
      <c r="U19" s="1386">
        <f>H19</f>
        <v>100</v>
      </c>
      <c r="V19" s="1385" t="s">
        <v>5</v>
      </c>
      <c r="W19" s="1386">
        <f>J19</f>
        <v>100</v>
      </c>
      <c r="X19" s="1379"/>
      <c r="Y19" s="3921"/>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921"/>
      <c r="Q20" s="1384"/>
      <c r="R20" s="1385"/>
      <c r="S20" s="1386"/>
      <c r="T20" s="1385"/>
      <c r="U20" s="1386"/>
      <c r="V20" s="1385"/>
      <c r="W20" s="1386"/>
      <c r="X20" s="1379"/>
      <c r="Y20" s="3921"/>
      <c r="Z20" s="1387"/>
      <c r="AA20" s="1388">
        <v>1</v>
      </c>
      <c r="AB20" s="1388">
        <v>1</v>
      </c>
      <c r="AC20" s="1388">
        <v>1</v>
      </c>
    </row>
    <row r="21" spans="1:29" ht="15">
      <c r="A21" s="502"/>
      <c r="B21" s="2198" t="s">
        <v>1838</v>
      </c>
      <c r="C21" s="543" t="str">
        <f>估价对象房地状况!C8</f>
        <v>六通</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921"/>
      <c r="Q21" s="2192" t="str">
        <f>B21</f>
        <v>基础设施水平</v>
      </c>
      <c r="R21" s="1385" t="s">
        <v>5</v>
      </c>
      <c r="S21" s="1386">
        <f>F21</f>
        <v>100</v>
      </c>
      <c r="T21" s="1385" t="s">
        <v>5</v>
      </c>
      <c r="U21" s="1386">
        <f>H21</f>
        <v>100</v>
      </c>
      <c r="V21" s="1385" t="s">
        <v>5</v>
      </c>
      <c r="W21" s="1386">
        <f>J21</f>
        <v>100</v>
      </c>
      <c r="X21" s="2194"/>
      <c r="Y21" s="3921"/>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21"/>
      <c r="Q22" s="2192"/>
      <c r="R22" s="1385"/>
      <c r="S22" s="1386"/>
      <c r="T22" s="1385"/>
      <c r="U22" s="1386"/>
      <c r="V22" s="1385"/>
      <c r="W22" s="1386"/>
      <c r="X22" s="2194"/>
      <c r="Y22" s="3921"/>
      <c r="Z22" s="2193"/>
      <c r="AA22" s="1388">
        <v>1</v>
      </c>
      <c r="AB22" s="1388">
        <v>1</v>
      </c>
      <c r="AC22" s="1388">
        <v>1</v>
      </c>
    </row>
    <row r="23" spans="1:29" ht="15">
      <c r="A23" s="502"/>
      <c r="B23" s="530" t="s">
        <v>718</v>
      </c>
      <c r="C23" s="543" t="str">
        <f>估价对象房地状况!C9</f>
        <v>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921"/>
      <c r="Q23" s="1384" t="str">
        <f>B23</f>
        <v>环境质量</v>
      </c>
      <c r="R23" s="1385" t="s">
        <v>5</v>
      </c>
      <c r="S23" s="1386">
        <f>F23</f>
        <v>100</v>
      </c>
      <c r="T23" s="1385" t="s">
        <v>5</v>
      </c>
      <c r="U23" s="1386">
        <f>H23</f>
        <v>100</v>
      </c>
      <c r="V23" s="1385" t="s">
        <v>5</v>
      </c>
      <c r="W23" s="1386">
        <f>J23</f>
        <v>100</v>
      </c>
      <c r="X23" s="1379"/>
      <c r="Y23" s="3921"/>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921"/>
      <c r="Q24" s="1384"/>
      <c r="R24" s="1385"/>
      <c r="S24" s="1386"/>
      <c r="T24" s="1385"/>
      <c r="U24" s="1386"/>
      <c r="V24" s="1385"/>
      <c r="W24" s="1386"/>
      <c r="X24" s="1379"/>
      <c r="Y24" s="3921"/>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921"/>
      <c r="Q25" s="1384" t="str">
        <f>B25</f>
        <v>毗邻道路的类型与等级</v>
      </c>
      <c r="R25" s="1385" t="s">
        <v>5</v>
      </c>
      <c r="S25" s="1386">
        <f>F25</f>
        <v>100</v>
      </c>
      <c r="T25" s="1385" t="s">
        <v>5</v>
      </c>
      <c r="U25" s="1386">
        <f>H25</f>
        <v>100</v>
      </c>
      <c r="V25" s="1385" t="s">
        <v>5</v>
      </c>
      <c r="W25" s="1386">
        <f>J25</f>
        <v>100</v>
      </c>
      <c r="X25" s="1379"/>
      <c r="Y25" s="3921"/>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921"/>
      <c r="Q26" s="1384"/>
      <c r="R26" s="1385"/>
      <c r="S26" s="1386"/>
      <c r="T26" s="1385"/>
      <c r="U26" s="1386"/>
      <c r="V26" s="1385"/>
      <c r="W26" s="1386"/>
      <c r="X26" s="1379"/>
      <c r="Y26" s="3921"/>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21"/>
      <c r="Q27" s="1384" t="str">
        <f t="shared" ref="Q27:Q47" si="8">B27</f>
        <v>楼层</v>
      </c>
      <c r="R27" s="1385" t="s">
        <v>5</v>
      </c>
      <c r="S27" s="1386">
        <f>F27</f>
        <v>100</v>
      </c>
      <c r="T27" s="1385" t="s">
        <v>5</v>
      </c>
      <c r="U27" s="1386">
        <f>H27</f>
        <v>100</v>
      </c>
      <c r="V27" s="1385" t="s">
        <v>5</v>
      </c>
      <c r="W27" s="1386">
        <f>J27</f>
        <v>100</v>
      </c>
      <c r="X27" s="1379"/>
      <c r="Y27" s="3921"/>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921"/>
      <c r="Q28" s="1049" t="str">
        <f t="shared" si="8"/>
        <v>朝向</v>
      </c>
      <c r="R28" s="1380" t="s">
        <v>5</v>
      </c>
      <c r="S28" s="1381">
        <f>F28</f>
        <v>100</v>
      </c>
      <c r="T28" s="1380" t="s">
        <v>5</v>
      </c>
      <c r="U28" s="1381">
        <f>H28</f>
        <v>100</v>
      </c>
      <c r="V28" s="1380" t="s">
        <v>5</v>
      </c>
      <c r="W28" s="1381">
        <f>J28</f>
        <v>100</v>
      </c>
      <c r="X28" s="1382"/>
      <c r="Y28" s="3921"/>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921"/>
      <c r="Q29" s="1384">
        <f t="shared" si="8"/>
        <v>111</v>
      </c>
      <c r="R29" s="1385" t="s">
        <v>5</v>
      </c>
      <c r="S29" s="1386">
        <f t="shared" ref="S29:S47" si="9">F29</f>
        <v>100</v>
      </c>
      <c r="T29" s="1385" t="s">
        <v>5</v>
      </c>
      <c r="U29" s="1386">
        <f t="shared" ref="U29:U47" si="10">H29</f>
        <v>100</v>
      </c>
      <c r="V29" s="1385" t="s">
        <v>5</v>
      </c>
      <c r="W29" s="1386">
        <f t="shared" ref="W29:W47" si="11">J29</f>
        <v>100</v>
      </c>
      <c r="X29" s="1379"/>
      <c r="Y29" s="3921"/>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921"/>
      <c r="Q30" s="1384">
        <f t="shared" si="8"/>
        <v>111</v>
      </c>
      <c r="R30" s="1385" t="s">
        <v>5</v>
      </c>
      <c r="S30" s="1386">
        <f t="shared" si="9"/>
        <v>100</v>
      </c>
      <c r="T30" s="1385" t="s">
        <v>5</v>
      </c>
      <c r="U30" s="1386">
        <f t="shared" si="10"/>
        <v>100</v>
      </c>
      <c r="V30" s="1385" t="s">
        <v>5</v>
      </c>
      <c r="W30" s="1386">
        <f t="shared" si="11"/>
        <v>100</v>
      </c>
      <c r="X30" s="1379"/>
      <c r="Y30" s="3921"/>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921"/>
      <c r="Q31" s="1384">
        <f t="shared" si="8"/>
        <v>111</v>
      </c>
      <c r="R31" s="1385" t="s">
        <v>5</v>
      </c>
      <c r="S31" s="1386">
        <f t="shared" si="9"/>
        <v>100</v>
      </c>
      <c r="T31" s="1385" t="s">
        <v>5</v>
      </c>
      <c r="U31" s="1386">
        <f t="shared" si="10"/>
        <v>100</v>
      </c>
      <c r="V31" s="1385" t="s">
        <v>5</v>
      </c>
      <c r="W31" s="1386">
        <f t="shared" si="11"/>
        <v>100</v>
      </c>
      <c r="X31" s="1379"/>
      <c r="Y31" s="3921"/>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921"/>
      <c r="Q32" s="1384">
        <f t="shared" si="8"/>
        <v>111</v>
      </c>
      <c r="R32" s="1385" t="s">
        <v>5</v>
      </c>
      <c r="S32" s="1386">
        <f t="shared" si="9"/>
        <v>100</v>
      </c>
      <c r="T32" s="1385" t="s">
        <v>5</v>
      </c>
      <c r="U32" s="1386">
        <f t="shared" si="10"/>
        <v>100</v>
      </c>
      <c r="V32" s="1385" t="s">
        <v>5</v>
      </c>
      <c r="W32" s="1386">
        <f t="shared" si="11"/>
        <v>100</v>
      </c>
      <c r="X32" s="1379"/>
      <c r="Y32" s="3921"/>
      <c r="Z32" s="1387">
        <f t="shared" si="12"/>
        <v>111</v>
      </c>
      <c r="AA32" s="1388">
        <f t="shared" si="3"/>
        <v>1</v>
      </c>
      <c r="AB32" s="1388">
        <f t="shared" si="4"/>
        <v>1</v>
      </c>
      <c r="AC32" s="1388">
        <f t="shared" si="5"/>
        <v>1</v>
      </c>
    </row>
    <row r="33" spans="1:29" ht="15">
      <c r="A33" s="2386" t="s">
        <v>2034</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922" t="s">
        <v>499</v>
      </c>
      <c r="Q33" s="1384" t="str">
        <f t="shared" si="8"/>
        <v>建筑类型</v>
      </c>
      <c r="R33" s="1385" t="s">
        <v>5</v>
      </c>
      <c r="S33" s="1386">
        <f t="shared" si="9"/>
        <v>100</v>
      </c>
      <c r="T33" s="1385" t="s">
        <v>5</v>
      </c>
      <c r="U33" s="1386">
        <f t="shared" si="10"/>
        <v>100</v>
      </c>
      <c r="V33" s="1385" t="s">
        <v>5</v>
      </c>
      <c r="W33" s="1386">
        <f t="shared" si="11"/>
        <v>100</v>
      </c>
      <c r="X33" s="1379"/>
      <c r="Y33" s="3923"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23"/>
      <c r="Q34" s="1413" t="str">
        <f t="shared" si="8"/>
        <v>项目建筑规模</v>
      </c>
      <c r="R34" s="1389" t="s">
        <v>5</v>
      </c>
      <c r="S34" s="1390" t="e">
        <f t="shared" si="9"/>
        <v>#N/A</v>
      </c>
      <c r="T34" s="1389" t="s">
        <v>5</v>
      </c>
      <c r="U34" s="1390" t="e">
        <f t="shared" si="10"/>
        <v>#N/A</v>
      </c>
      <c r="V34" s="1389" t="s">
        <v>5</v>
      </c>
      <c r="W34" s="1390" t="e">
        <f t="shared" si="11"/>
        <v>#N/A</v>
      </c>
      <c r="X34" s="1391"/>
      <c r="Y34" s="3923"/>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23"/>
      <c r="Q35" s="1384" t="str">
        <f t="shared" si="8"/>
        <v>建筑结构</v>
      </c>
      <c r="R35" s="1385" t="s">
        <v>5</v>
      </c>
      <c r="S35" s="1386">
        <f t="shared" si="9"/>
        <v>100</v>
      </c>
      <c r="T35" s="1385" t="s">
        <v>5</v>
      </c>
      <c r="U35" s="1386">
        <f t="shared" si="10"/>
        <v>100</v>
      </c>
      <c r="V35" s="1385" t="s">
        <v>5</v>
      </c>
      <c r="W35" s="1386">
        <f t="shared" si="11"/>
        <v>100</v>
      </c>
      <c r="X35" s="1379"/>
      <c r="Y35" s="3923"/>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23"/>
      <c r="Q36" s="1384" t="str">
        <f t="shared" si="8"/>
        <v>公共部分装修</v>
      </c>
      <c r="R36" s="1385" t="s">
        <v>5</v>
      </c>
      <c r="S36" s="1386">
        <f t="shared" si="9"/>
        <v>100</v>
      </c>
      <c r="T36" s="1385" t="s">
        <v>5</v>
      </c>
      <c r="U36" s="1386">
        <f t="shared" si="10"/>
        <v>100</v>
      </c>
      <c r="V36" s="1385" t="s">
        <v>5</v>
      </c>
      <c r="W36" s="1386">
        <f t="shared" si="11"/>
        <v>100</v>
      </c>
      <c r="X36" s="1379"/>
      <c r="Y36" s="3923"/>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923"/>
      <c r="Q37" s="1384" t="str">
        <f t="shared" si="8"/>
        <v>成新度</v>
      </c>
      <c r="R37" s="1385" t="s">
        <v>5</v>
      </c>
      <c r="S37" s="1386" t="e">
        <f t="shared" si="9"/>
        <v>#N/A</v>
      </c>
      <c r="T37" s="1385" t="s">
        <v>5</v>
      </c>
      <c r="U37" s="1386" t="e">
        <f t="shared" si="10"/>
        <v>#N/A</v>
      </c>
      <c r="V37" s="1385" t="s">
        <v>5</v>
      </c>
      <c r="W37" s="1386" t="e">
        <f t="shared" si="11"/>
        <v>#N/A</v>
      </c>
      <c r="X37" s="1379"/>
      <c r="Y37" s="3923"/>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23"/>
      <c r="Q38" s="1049" t="str">
        <f t="shared" si="8"/>
        <v>写字楼等级</v>
      </c>
      <c r="R38" s="1380" t="s">
        <v>5</v>
      </c>
      <c r="S38" s="1381">
        <f t="shared" si="9"/>
        <v>100</v>
      </c>
      <c r="T38" s="1380" t="s">
        <v>5</v>
      </c>
      <c r="U38" s="1381">
        <f t="shared" si="10"/>
        <v>100</v>
      </c>
      <c r="V38" s="1380" t="s">
        <v>5</v>
      </c>
      <c r="W38" s="1381">
        <f t="shared" si="11"/>
        <v>100</v>
      </c>
      <c r="X38" s="1382"/>
      <c r="Y38" s="3923"/>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23" t="s">
        <v>499</v>
      </c>
      <c r="Q39" s="1384" t="str">
        <f t="shared" si="8"/>
        <v>物业管理</v>
      </c>
      <c r="R39" s="1385" t="s">
        <v>5</v>
      </c>
      <c r="S39" s="1386">
        <f t="shared" si="9"/>
        <v>100</v>
      </c>
      <c r="T39" s="1385" t="s">
        <v>5</v>
      </c>
      <c r="U39" s="1386">
        <f t="shared" si="10"/>
        <v>100</v>
      </c>
      <c r="V39" s="1385" t="s">
        <v>5</v>
      </c>
      <c r="W39" s="1386">
        <f t="shared" si="11"/>
        <v>100</v>
      </c>
      <c r="X39" s="1379"/>
      <c r="Y39" s="3923" t="s">
        <v>499</v>
      </c>
      <c r="Z39" s="1387" t="str">
        <f t="shared" si="12"/>
        <v>物业管理</v>
      </c>
      <c r="AA39" s="1388">
        <f t="shared" si="3"/>
        <v>1</v>
      </c>
      <c r="AB39" s="1388">
        <f t="shared" si="4"/>
        <v>1</v>
      </c>
      <c r="AC39" s="1388">
        <f t="shared" si="5"/>
        <v>1</v>
      </c>
    </row>
    <row r="40" spans="1:29" ht="15">
      <c r="A40" s="564"/>
      <c r="B40" s="1650" t="s">
        <v>1845</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23"/>
      <c r="Q40" s="1384" t="str">
        <f t="shared" si="8"/>
        <v>市政基础设施</v>
      </c>
      <c r="R40" s="1385" t="s">
        <v>5</v>
      </c>
      <c r="S40" s="1386">
        <f t="shared" si="9"/>
        <v>100</v>
      </c>
      <c r="T40" s="1385" t="s">
        <v>5</v>
      </c>
      <c r="U40" s="1386">
        <f t="shared" si="10"/>
        <v>100</v>
      </c>
      <c r="V40" s="1385" t="s">
        <v>5</v>
      </c>
      <c r="W40" s="1386">
        <f t="shared" si="11"/>
        <v>100</v>
      </c>
      <c r="X40" s="1379"/>
      <c r="Y40" s="3923"/>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23"/>
      <c r="Q41" s="1384" t="str">
        <f t="shared" si="8"/>
        <v>层高</v>
      </c>
      <c r="R41" s="1385" t="s">
        <v>5</v>
      </c>
      <c r="S41" s="1386">
        <f t="shared" si="9"/>
        <v>100</v>
      </c>
      <c r="T41" s="1385" t="s">
        <v>5</v>
      </c>
      <c r="U41" s="1386">
        <f t="shared" si="10"/>
        <v>100</v>
      </c>
      <c r="V41" s="1385" t="s">
        <v>5</v>
      </c>
      <c r="W41" s="1386">
        <f t="shared" si="11"/>
        <v>100</v>
      </c>
      <c r="X41" s="1379"/>
      <c r="Y41" s="3923"/>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23"/>
      <c r="Q42" s="1413" t="str">
        <f t="shared" si="8"/>
        <v>单套建筑面积</v>
      </c>
      <c r="R42" s="1389" t="s">
        <v>5</v>
      </c>
      <c r="S42" s="1390">
        <f t="shared" si="9"/>
        <v>100</v>
      </c>
      <c r="T42" s="1389" t="s">
        <v>5</v>
      </c>
      <c r="U42" s="1390">
        <f t="shared" si="10"/>
        <v>100</v>
      </c>
      <c r="V42" s="1389" t="s">
        <v>5</v>
      </c>
      <c r="W42" s="1390">
        <f t="shared" si="11"/>
        <v>100</v>
      </c>
      <c r="X42" s="1391"/>
      <c r="Y42" s="3923"/>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23"/>
      <c r="Q43" s="1384" t="str">
        <f t="shared" si="8"/>
        <v>内部装修</v>
      </c>
      <c r="R43" s="1385" t="s">
        <v>5</v>
      </c>
      <c r="S43" s="1386">
        <f t="shared" si="9"/>
        <v>100</v>
      </c>
      <c r="T43" s="1385" t="s">
        <v>5</v>
      </c>
      <c r="U43" s="1386">
        <f t="shared" si="10"/>
        <v>100</v>
      </c>
      <c r="V43" s="1385" t="s">
        <v>5</v>
      </c>
      <c r="W43" s="1386">
        <f t="shared" si="11"/>
        <v>100</v>
      </c>
      <c r="X43" s="1379"/>
      <c r="Y43" s="3923"/>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23"/>
      <c r="Q44" s="1384" t="str">
        <f t="shared" si="8"/>
        <v>内部装修维护情况</v>
      </c>
      <c r="R44" s="1385" t="s">
        <v>5</v>
      </c>
      <c r="S44" s="1386">
        <f t="shared" si="9"/>
        <v>100</v>
      </c>
      <c r="T44" s="1385" t="s">
        <v>5</v>
      </c>
      <c r="U44" s="1386">
        <f t="shared" si="10"/>
        <v>100</v>
      </c>
      <c r="V44" s="1385" t="s">
        <v>5</v>
      </c>
      <c r="W44" s="1386">
        <f t="shared" si="11"/>
        <v>100</v>
      </c>
      <c r="X44" s="1379"/>
      <c r="Y44" s="3923"/>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23"/>
      <c r="Q45" s="1049">
        <f t="shared" si="8"/>
        <v>111</v>
      </c>
      <c r="R45" s="1380" t="s">
        <v>5</v>
      </c>
      <c r="S45" s="1381">
        <f t="shared" si="9"/>
        <v>100</v>
      </c>
      <c r="T45" s="1380" t="s">
        <v>5</v>
      </c>
      <c r="U45" s="1381">
        <f t="shared" si="10"/>
        <v>100</v>
      </c>
      <c r="V45" s="1380" t="s">
        <v>5</v>
      </c>
      <c r="W45" s="1381">
        <f t="shared" si="11"/>
        <v>100</v>
      </c>
      <c r="X45" s="1382"/>
      <c r="Y45" s="3923"/>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23"/>
      <c r="Q46" s="1384">
        <f t="shared" si="8"/>
        <v>111</v>
      </c>
      <c r="R46" s="1385" t="s">
        <v>5</v>
      </c>
      <c r="S46" s="1386">
        <f t="shared" si="9"/>
        <v>100</v>
      </c>
      <c r="T46" s="1385" t="s">
        <v>5</v>
      </c>
      <c r="U46" s="1386">
        <f t="shared" si="10"/>
        <v>100</v>
      </c>
      <c r="V46" s="1385" t="s">
        <v>5</v>
      </c>
      <c r="W46" s="1386">
        <f t="shared" si="11"/>
        <v>100</v>
      </c>
      <c r="X46" s="1379"/>
      <c r="Y46" s="3923"/>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35"/>
      <c r="Q47" s="1384">
        <f t="shared" si="8"/>
        <v>111</v>
      </c>
      <c r="R47" s="1385" t="s">
        <v>5</v>
      </c>
      <c r="S47" s="1386">
        <f t="shared" si="9"/>
        <v>100</v>
      </c>
      <c r="T47" s="1385" t="s">
        <v>5</v>
      </c>
      <c r="U47" s="1386">
        <f t="shared" si="10"/>
        <v>100</v>
      </c>
      <c r="V47" s="1385" t="s">
        <v>5</v>
      </c>
      <c r="W47" s="1386">
        <f t="shared" si="11"/>
        <v>100</v>
      </c>
      <c r="X47" s="1379"/>
      <c r="Y47" s="4035"/>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925" t="str">
        <f>A48</f>
        <v>成交单价（元/平方米）</v>
      </c>
      <c r="Q48" s="3918"/>
      <c r="R48" s="4034">
        <f>E48</f>
        <v>0</v>
      </c>
      <c r="S48" s="4034"/>
      <c r="T48" s="4034">
        <f>G48</f>
        <v>0</v>
      </c>
      <c r="U48" s="4034"/>
      <c r="V48" s="4034">
        <f>I48</f>
        <v>0</v>
      </c>
      <c r="W48" s="4034"/>
      <c r="X48" s="1374"/>
      <c r="Y48" s="1393"/>
      <c r="Z48" s="1374"/>
      <c r="AA48" s="1374"/>
      <c r="AB48" s="1374"/>
      <c r="AC48" s="1374"/>
    </row>
    <row r="49" spans="1:29" ht="15.75" thickBot="1">
      <c r="A49" s="585" t="s">
        <v>2039</v>
      </c>
      <c r="B49" s="850"/>
      <c r="C49" s="2239" t="e">
        <f>R50</f>
        <v>#DIV/0!</v>
      </c>
      <c r="D49" s="2756" t="s">
        <v>2253</v>
      </c>
      <c r="E49" s="2240" t="e">
        <f>R49</f>
        <v>#DIV/0!</v>
      </c>
      <c r="F49" s="2757"/>
      <c r="G49" s="2239" t="e">
        <f>T49</f>
        <v>#DIV/0!</v>
      </c>
      <c r="H49" s="2757"/>
      <c r="I49" s="2240" t="e">
        <f>V49</f>
        <v>#DIV/0!</v>
      </c>
      <c r="J49" s="2757"/>
      <c r="K49" s="2765">
        <f>F49+H49+J49</f>
        <v>0</v>
      </c>
      <c r="L49" s="1866"/>
      <c r="M49" s="1856"/>
      <c r="N49" s="1856"/>
      <c r="O49" s="1856"/>
      <c r="P49" s="3925" t="str">
        <f>A49</f>
        <v>比较价格（元/平方米）</v>
      </c>
      <c r="Q49" s="3918"/>
      <c r="R49" s="4034" t="e">
        <f>IF(F1="售价",ROUND(PRODUCT(R48,AA7:AA47),0),ROUND(PRODUCT(R48,AA7:AA47),1))</f>
        <v>#DIV/0!</v>
      </c>
      <c r="S49" s="4034"/>
      <c r="T49" s="4034" t="e">
        <f>IF(F1="售价",ROUND(PRODUCT(T48,AB7:AB47),0),ROUND(PRODUCT(T48,AB7:AB47),1))</f>
        <v>#DIV/0!</v>
      </c>
      <c r="U49" s="4034"/>
      <c r="V49" s="4034" t="e">
        <f>IF(F1="售价",ROUND(PRODUCT(V48,AC7:AC47),0),ROUND(PRODUCT(V48,AC7:AC47),1))</f>
        <v>#DIV/0!</v>
      </c>
      <c r="W49" s="4034"/>
      <c r="X49" s="1374"/>
      <c r="Y49" s="1374"/>
      <c r="Z49" s="1374"/>
      <c r="AA49" s="1374"/>
      <c r="AB49" s="1374"/>
      <c r="AC49" s="1374"/>
    </row>
    <row r="50" spans="1:29" ht="15.75" thickBot="1">
      <c r="A50" s="589" t="s">
        <v>2190</v>
      </c>
      <c r="B50" s="590"/>
      <c r="C50" s="2241" t="e">
        <f>R50</f>
        <v>#DIV/0!</v>
      </c>
      <c r="D50" s="2241"/>
      <c r="E50" s="2241"/>
      <c r="F50" s="2241"/>
      <c r="G50" s="2241"/>
      <c r="H50" s="2241"/>
      <c r="I50" s="2241"/>
      <c r="J50" s="2241"/>
      <c r="K50" s="1419"/>
      <c r="L50" s="1866"/>
      <c r="M50" s="1856"/>
      <c r="N50" s="1856"/>
      <c r="O50" s="1856"/>
      <c r="P50" s="4039" t="str">
        <f>A50</f>
        <v>估价对象XX用房的比较价格（楼面单价，元/平方米）</v>
      </c>
      <c r="Q50" s="3925"/>
      <c r="R50" s="4033" t="e">
        <f>IF(F1="售价",ROUND(IF(D49="简单平均",AVERAGE(R49:V49),R49*F49+T49*H49+V49*J49),0),ROUND(IF(D49="简单平均",AVERAGE(R49:V49),R49*F49+T49*H49+V49*J49),1))</f>
        <v>#DIV/0!</v>
      </c>
      <c r="S50" s="4033"/>
      <c r="T50" s="4033"/>
      <c r="U50" s="4033"/>
      <c r="V50" s="4033"/>
      <c r="W50" s="4033"/>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2023-4</v>
      </c>
      <c r="D59" s="2283">
        <f>EDATE(C59,-1)</f>
        <v>44986</v>
      </c>
      <c r="E59" s="2283">
        <f t="shared" ref="E59:O59" si="13">EDATE(D59,-1)</f>
        <v>44958</v>
      </c>
      <c r="F59" s="2283">
        <f t="shared" si="13"/>
        <v>44927</v>
      </c>
      <c r="G59" s="2283">
        <f t="shared" si="13"/>
        <v>44896</v>
      </c>
      <c r="H59" s="2283">
        <f t="shared" si="13"/>
        <v>44866</v>
      </c>
      <c r="I59" s="2283">
        <f t="shared" si="13"/>
        <v>44835</v>
      </c>
      <c r="J59" s="2283">
        <f t="shared" si="13"/>
        <v>44805</v>
      </c>
      <c r="K59" s="2283">
        <f t="shared" si="13"/>
        <v>44774</v>
      </c>
      <c r="L59" s="2283">
        <f t="shared" si="13"/>
        <v>44743</v>
      </c>
      <c r="M59" s="2283">
        <f t="shared" si="13"/>
        <v>44713</v>
      </c>
      <c r="N59" s="2283">
        <f t="shared" si="13"/>
        <v>44682</v>
      </c>
      <c r="O59" s="2283">
        <f t="shared" si="13"/>
        <v>44652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1837</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1838</v>
      </c>
      <c r="C83" s="2205" t="s">
        <v>1839</v>
      </c>
      <c r="D83" s="2205" t="s">
        <v>1840</v>
      </c>
      <c r="E83" s="2205" t="s">
        <v>1841</v>
      </c>
      <c r="F83" s="2205" t="s">
        <v>1842</v>
      </c>
      <c r="G83" s="2205" t="s">
        <v>1843</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1836</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926" t="s">
        <v>471</v>
      </c>
      <c r="D4" s="3927"/>
      <c r="E4" s="3952" t="s">
        <v>472</v>
      </c>
      <c r="F4" s="3953"/>
      <c r="G4" s="3926" t="s">
        <v>473</v>
      </c>
      <c r="H4" s="3927"/>
      <c r="I4" s="3926" t="s">
        <v>474</v>
      </c>
      <c r="J4" s="3927"/>
      <c r="K4" s="484" t="s">
        <v>475</v>
      </c>
      <c r="L4" s="1855"/>
      <c r="M4" s="1856"/>
      <c r="N4" s="1856"/>
      <c r="O4" s="1856"/>
      <c r="P4" s="3928" t="s">
        <v>476</v>
      </c>
      <c r="Q4" s="3929"/>
      <c r="R4" s="3912" t="s">
        <v>472</v>
      </c>
      <c r="S4" s="3913"/>
      <c r="T4" s="3912" t="s">
        <v>473</v>
      </c>
      <c r="U4" s="3913"/>
      <c r="V4" s="3934" t="s">
        <v>474</v>
      </c>
      <c r="W4" s="3934"/>
      <c r="X4" s="1379"/>
      <c r="Y4" s="3912" t="s">
        <v>476</v>
      </c>
      <c r="Z4" s="3913"/>
      <c r="AA4" s="3907" t="s">
        <v>472</v>
      </c>
      <c r="AB4" s="3908" t="s">
        <v>473</v>
      </c>
      <c r="AC4" s="3907" t="s">
        <v>474</v>
      </c>
    </row>
    <row r="5" spans="1:29" ht="15">
      <c r="A5" s="485"/>
      <c r="B5" s="486"/>
      <c r="C5" s="3937" t="s">
        <v>2184</v>
      </c>
      <c r="D5" s="3938"/>
      <c r="E5" s="3954" t="s">
        <v>2185</v>
      </c>
      <c r="F5" s="3955"/>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10" t="s">
        <v>479</v>
      </c>
      <c r="Q7" s="3919"/>
      <c r="R7" s="1380" t="s">
        <v>5</v>
      </c>
      <c r="S7" s="1381">
        <f t="shared" ref="S7:S15" si="0">F7</f>
        <v>0</v>
      </c>
      <c r="T7" s="1380" t="s">
        <v>5</v>
      </c>
      <c r="U7" s="1381">
        <f t="shared" ref="U7:U15" si="1">H7</f>
        <v>0</v>
      </c>
      <c r="V7" s="1380" t="s">
        <v>5</v>
      </c>
      <c r="W7" s="1381">
        <f t="shared" ref="W7:W15"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40" si="3">D8/F8</f>
        <v>#DIV/0!</v>
      </c>
      <c r="AB8" s="1383" t="e">
        <f t="shared" ref="AB8:AB40" si="4">D8/H8</f>
        <v>#DIV/0!</v>
      </c>
      <c r="AC8" s="1383" t="e">
        <f t="shared" ref="AC8:AC40" si="5">D8/J8</f>
        <v>#DIV/0!</v>
      </c>
    </row>
    <row r="9" spans="1:29" s="1117" customFormat="1" ht="15">
      <c r="A9" s="2393"/>
      <c r="B9" s="2400" t="s">
        <v>2035</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18"/>
      <c r="Q11" s="1049" t="str">
        <f t="shared" si="6"/>
        <v>容积率</v>
      </c>
      <c r="R11" s="1380" t="s">
        <v>5</v>
      </c>
      <c r="S11" s="1381" t="e">
        <f t="shared" si="0"/>
        <v>#N/A</v>
      </c>
      <c r="T11" s="1380" t="s">
        <v>5</v>
      </c>
      <c r="U11" s="1381" t="e">
        <f t="shared" si="1"/>
        <v>#N/A</v>
      </c>
      <c r="V11" s="1380" t="s">
        <v>5</v>
      </c>
      <c r="W11" s="1381" t="e">
        <f t="shared" si="2"/>
        <v>#N/A</v>
      </c>
      <c r="X11" s="1382"/>
      <c r="Y11" s="387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 t="shared" si="3"/>
        <v>1</v>
      </c>
      <c r="AB14" s="1383">
        <f t="shared" si="4"/>
        <v>1</v>
      </c>
      <c r="AC14" s="1383">
        <f t="shared" si="5"/>
        <v>1</v>
      </c>
    </row>
    <row r="15" spans="1:29" ht="57">
      <c r="A15" s="2389" t="s">
        <v>2033</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920" t="s">
        <v>489</v>
      </c>
      <c r="Q15" s="1384" t="str">
        <f t="shared" si="6"/>
        <v>产业集聚程度</v>
      </c>
      <c r="R15" s="1385" t="s">
        <v>5</v>
      </c>
      <c r="S15" s="1386">
        <f t="shared" si="0"/>
        <v>100</v>
      </c>
      <c r="T15" s="1385" t="s">
        <v>5</v>
      </c>
      <c r="U15" s="1386">
        <f t="shared" si="1"/>
        <v>100</v>
      </c>
      <c r="V15" s="1385" t="s">
        <v>5</v>
      </c>
      <c r="W15" s="1386">
        <f t="shared" si="2"/>
        <v>100</v>
      </c>
      <c r="X15" s="1379"/>
      <c r="Y15" s="3920"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921"/>
      <c r="Q16" s="1384"/>
      <c r="R16" s="1385"/>
      <c r="S16" s="1386"/>
      <c r="T16" s="1385"/>
      <c r="U16" s="1386"/>
      <c r="V16" s="1385"/>
      <c r="W16" s="1386"/>
      <c r="X16" s="1379"/>
      <c r="Y16" s="3921"/>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921"/>
      <c r="Q17" s="1384" t="str">
        <f>B17</f>
        <v>交通便捷度</v>
      </c>
      <c r="R17" s="1385" t="s">
        <v>5</v>
      </c>
      <c r="S17" s="1386">
        <f>F17</f>
        <v>100</v>
      </c>
      <c r="T17" s="1385" t="s">
        <v>5</v>
      </c>
      <c r="U17" s="1386">
        <f>H17</f>
        <v>100</v>
      </c>
      <c r="V17" s="1385" t="s">
        <v>5</v>
      </c>
      <c r="W17" s="1386">
        <f>J17</f>
        <v>100</v>
      </c>
      <c r="X17" s="1379"/>
      <c r="Y17" s="392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921"/>
      <c r="Q18" s="1384"/>
      <c r="R18" s="1385"/>
      <c r="S18" s="1386"/>
      <c r="T18" s="1385"/>
      <c r="U18" s="1386"/>
      <c r="V18" s="1385"/>
      <c r="W18" s="1386"/>
      <c r="X18" s="1379"/>
      <c r="Y18" s="3921"/>
      <c r="Z18" s="1387"/>
      <c r="AA18" s="1388">
        <v>1</v>
      </c>
      <c r="AB18" s="1388">
        <v>1</v>
      </c>
      <c r="AC18" s="1388">
        <v>1</v>
      </c>
    </row>
    <row r="19" spans="1:29" ht="42.75">
      <c r="A19" s="502"/>
      <c r="B19" s="2210" t="s">
        <v>1826</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921"/>
      <c r="Q19" s="1384" t="str">
        <f>B19</f>
        <v>公共配套设施</v>
      </c>
      <c r="R19" s="1385" t="s">
        <v>5</v>
      </c>
      <c r="S19" s="1386">
        <f>F19</f>
        <v>100</v>
      </c>
      <c r="T19" s="1385" t="s">
        <v>5</v>
      </c>
      <c r="U19" s="1386">
        <f>H19</f>
        <v>100</v>
      </c>
      <c r="V19" s="1385" t="s">
        <v>5</v>
      </c>
      <c r="W19" s="1386">
        <f>J19</f>
        <v>100</v>
      </c>
      <c r="X19" s="1379"/>
      <c r="Y19" s="3921"/>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921"/>
      <c r="Q20" s="1384"/>
      <c r="R20" s="1385"/>
      <c r="S20" s="1386"/>
      <c r="T20" s="1385"/>
      <c r="U20" s="1386"/>
      <c r="V20" s="1385"/>
      <c r="W20" s="1386"/>
      <c r="X20" s="1379"/>
      <c r="Y20" s="3921"/>
      <c r="Z20" s="1387"/>
      <c r="AA20" s="1388">
        <v>1</v>
      </c>
      <c r="AB20" s="1388">
        <v>1</v>
      </c>
      <c r="AC20" s="1388">
        <v>1</v>
      </c>
    </row>
    <row r="21" spans="1:29" ht="28.5">
      <c r="A21" s="502"/>
      <c r="B21" s="2198" t="s">
        <v>1838</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921"/>
      <c r="Q21" s="2192" t="str">
        <f>B21</f>
        <v>基础设施水平</v>
      </c>
      <c r="R21" s="1385" t="s">
        <v>5</v>
      </c>
      <c r="S21" s="1386">
        <f>F21</f>
        <v>100</v>
      </c>
      <c r="T21" s="1385" t="s">
        <v>5</v>
      </c>
      <c r="U21" s="1386">
        <f>H21</f>
        <v>100</v>
      </c>
      <c r="V21" s="1385" t="s">
        <v>5</v>
      </c>
      <c r="W21" s="1386">
        <f>J21</f>
        <v>100</v>
      </c>
      <c r="X21" s="2194"/>
      <c r="Y21" s="3921"/>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21"/>
      <c r="Q22" s="2192"/>
      <c r="R22" s="1385"/>
      <c r="S22" s="1386"/>
      <c r="T22" s="1385"/>
      <c r="U22" s="1386"/>
      <c r="V22" s="1385"/>
      <c r="W22" s="1386"/>
      <c r="X22" s="2194"/>
      <c r="Y22" s="3921"/>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921"/>
      <c r="Q23" s="1384" t="str">
        <f>B23</f>
        <v>环境质量</v>
      </c>
      <c r="R23" s="1385" t="s">
        <v>5</v>
      </c>
      <c r="S23" s="1386">
        <f>F23</f>
        <v>100</v>
      </c>
      <c r="T23" s="1385" t="s">
        <v>5</v>
      </c>
      <c r="U23" s="1386">
        <f>H23</f>
        <v>100</v>
      </c>
      <c r="V23" s="1385" t="s">
        <v>5</v>
      </c>
      <c r="W23" s="1386">
        <f>J23</f>
        <v>100</v>
      </c>
      <c r="X23" s="1379"/>
      <c r="Y23" s="3921"/>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921"/>
      <c r="Q24" s="1384"/>
      <c r="R24" s="1385"/>
      <c r="S24" s="1386"/>
      <c r="T24" s="1385"/>
      <c r="U24" s="1386"/>
      <c r="V24" s="1385"/>
      <c r="W24" s="1386"/>
      <c r="X24" s="1379"/>
      <c r="Y24" s="3921"/>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21"/>
      <c r="Q25" s="1384">
        <f>B25</f>
        <v>111</v>
      </c>
      <c r="R25" s="1385" t="s">
        <v>5</v>
      </c>
      <c r="S25" s="1386">
        <f>F25</f>
        <v>100</v>
      </c>
      <c r="T25" s="1385" t="s">
        <v>5</v>
      </c>
      <c r="U25" s="1386">
        <f>H25</f>
        <v>100</v>
      </c>
      <c r="V25" s="1385" t="s">
        <v>5</v>
      </c>
      <c r="W25" s="1386">
        <f>J25</f>
        <v>100</v>
      </c>
      <c r="X25" s="1379"/>
      <c r="Y25" s="3921"/>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21"/>
      <c r="Q26" s="1384">
        <f t="shared" ref="Q26:Q40" si="8">B26</f>
        <v>111</v>
      </c>
      <c r="R26" s="1385" t="s">
        <v>5</v>
      </c>
      <c r="S26" s="1386">
        <f>F26</f>
        <v>100</v>
      </c>
      <c r="T26" s="1385" t="s">
        <v>5</v>
      </c>
      <c r="U26" s="1386">
        <f>H26</f>
        <v>100</v>
      </c>
      <c r="V26" s="1385" t="s">
        <v>5</v>
      </c>
      <c r="W26" s="1386">
        <f>J26</f>
        <v>100</v>
      </c>
      <c r="X26" s="1379"/>
      <c r="Y26" s="3921"/>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21"/>
      <c r="Q27" s="1049">
        <f t="shared" si="8"/>
        <v>111</v>
      </c>
      <c r="R27" s="1380" t="s">
        <v>5</v>
      </c>
      <c r="S27" s="1381">
        <f>F27</f>
        <v>100</v>
      </c>
      <c r="T27" s="1380" t="s">
        <v>5</v>
      </c>
      <c r="U27" s="1381">
        <f>H27</f>
        <v>100</v>
      </c>
      <c r="V27" s="1380" t="s">
        <v>5</v>
      </c>
      <c r="W27" s="1381">
        <f>J27</f>
        <v>100</v>
      </c>
      <c r="X27" s="1382"/>
      <c r="Y27" s="3921"/>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921"/>
      <c r="Q28" s="1384">
        <f t="shared" si="8"/>
        <v>111</v>
      </c>
      <c r="R28" s="1385" t="s">
        <v>5</v>
      </c>
      <c r="S28" s="1386">
        <f t="shared" ref="S28:S40" si="9">F28</f>
        <v>100</v>
      </c>
      <c r="T28" s="1385" t="s">
        <v>5</v>
      </c>
      <c r="U28" s="1386">
        <f t="shared" ref="U28:U40" si="10">H28</f>
        <v>100</v>
      </c>
      <c r="V28" s="1385" t="s">
        <v>5</v>
      </c>
      <c r="W28" s="1386">
        <f t="shared" ref="W28:W40" si="11">J28</f>
        <v>100</v>
      </c>
      <c r="X28" s="1379"/>
      <c r="Y28" s="3921"/>
      <c r="Z28" s="1387">
        <f t="shared" ref="Z28:Z40" si="12">Q28</f>
        <v>111</v>
      </c>
      <c r="AA28" s="1388">
        <f t="shared" si="3"/>
        <v>1</v>
      </c>
      <c r="AB28" s="1388">
        <f t="shared" si="4"/>
        <v>1</v>
      </c>
      <c r="AC28" s="1388">
        <f t="shared" si="5"/>
        <v>1</v>
      </c>
    </row>
    <row r="29" spans="1:29" ht="15">
      <c r="A29" s="2386" t="s">
        <v>2034</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922" t="s">
        <v>499</v>
      </c>
      <c r="Q29" s="1384" t="str">
        <f t="shared" si="8"/>
        <v>建筑类型</v>
      </c>
      <c r="R29" s="1385" t="s">
        <v>5</v>
      </c>
      <c r="S29" s="1386">
        <f t="shared" si="9"/>
        <v>100</v>
      </c>
      <c r="T29" s="1385" t="s">
        <v>5</v>
      </c>
      <c r="U29" s="1386">
        <f t="shared" si="10"/>
        <v>100</v>
      </c>
      <c r="V29" s="1385" t="s">
        <v>5</v>
      </c>
      <c r="W29" s="1386">
        <f t="shared" si="11"/>
        <v>100</v>
      </c>
      <c r="X29" s="1379"/>
      <c r="Y29" s="3923"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23"/>
      <c r="Q30" s="1413" t="str">
        <f t="shared" si="8"/>
        <v>项目建筑规模</v>
      </c>
      <c r="R30" s="1389" t="s">
        <v>5</v>
      </c>
      <c r="S30" s="1390" t="e">
        <f t="shared" si="9"/>
        <v>#N/A</v>
      </c>
      <c r="T30" s="1389" t="s">
        <v>5</v>
      </c>
      <c r="U30" s="1390" t="e">
        <f t="shared" si="10"/>
        <v>#N/A</v>
      </c>
      <c r="V30" s="1389" t="s">
        <v>5</v>
      </c>
      <c r="W30" s="1390" t="e">
        <f t="shared" si="11"/>
        <v>#N/A</v>
      </c>
      <c r="X30" s="1391"/>
      <c r="Y30" s="3923"/>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23"/>
      <c r="Q31" s="1384" t="str">
        <f t="shared" si="8"/>
        <v>建筑结构</v>
      </c>
      <c r="R31" s="1385" t="s">
        <v>5</v>
      </c>
      <c r="S31" s="1386">
        <f t="shared" si="9"/>
        <v>100</v>
      </c>
      <c r="T31" s="1385" t="s">
        <v>5</v>
      </c>
      <c r="U31" s="1386">
        <f t="shared" si="10"/>
        <v>100</v>
      </c>
      <c r="V31" s="1385" t="s">
        <v>5</v>
      </c>
      <c r="W31" s="1386">
        <f t="shared" si="11"/>
        <v>100</v>
      </c>
      <c r="X31" s="1379"/>
      <c r="Y31" s="3923"/>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23"/>
      <c r="Q32" s="1384" t="str">
        <f t="shared" si="8"/>
        <v>公共部分装修</v>
      </c>
      <c r="R32" s="1385" t="s">
        <v>5</v>
      </c>
      <c r="S32" s="1386">
        <f t="shared" si="9"/>
        <v>100</v>
      </c>
      <c r="T32" s="1385" t="s">
        <v>5</v>
      </c>
      <c r="U32" s="1386">
        <f t="shared" si="10"/>
        <v>100</v>
      </c>
      <c r="V32" s="1385" t="s">
        <v>5</v>
      </c>
      <c r="W32" s="1386">
        <f t="shared" si="11"/>
        <v>100</v>
      </c>
      <c r="X32" s="1379"/>
      <c r="Y32" s="3923"/>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923"/>
      <c r="Q33" s="1384" t="str">
        <f t="shared" si="8"/>
        <v>成新度</v>
      </c>
      <c r="R33" s="1385" t="s">
        <v>5</v>
      </c>
      <c r="S33" s="1386" t="e">
        <f t="shared" si="9"/>
        <v>#N/A</v>
      </c>
      <c r="T33" s="1385" t="s">
        <v>5</v>
      </c>
      <c r="U33" s="1386" t="e">
        <f t="shared" si="10"/>
        <v>#N/A</v>
      </c>
      <c r="V33" s="1385" t="s">
        <v>5</v>
      </c>
      <c r="W33" s="1386" t="e">
        <f t="shared" si="11"/>
        <v>#N/A</v>
      </c>
      <c r="X33" s="1379"/>
      <c r="Y33" s="3923"/>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23"/>
      <c r="Q34" s="1049" t="str">
        <f t="shared" si="8"/>
        <v>物业管理</v>
      </c>
      <c r="R34" s="1380" t="s">
        <v>5</v>
      </c>
      <c r="S34" s="1381">
        <f t="shared" si="9"/>
        <v>100</v>
      </c>
      <c r="T34" s="1380" t="s">
        <v>5</v>
      </c>
      <c r="U34" s="1381">
        <f t="shared" si="10"/>
        <v>100</v>
      </c>
      <c r="V34" s="1380" t="s">
        <v>5</v>
      </c>
      <c r="W34" s="1381">
        <f t="shared" si="11"/>
        <v>100</v>
      </c>
      <c r="X34" s="1382"/>
      <c r="Y34" s="3923"/>
      <c r="Z34" s="1048" t="str">
        <f t="shared" si="12"/>
        <v>物业管理</v>
      </c>
      <c r="AA34" s="1383">
        <f t="shared" si="3"/>
        <v>1</v>
      </c>
      <c r="AB34" s="1383">
        <f t="shared" si="4"/>
        <v>1</v>
      </c>
      <c r="AC34" s="1383">
        <f t="shared" si="5"/>
        <v>1</v>
      </c>
    </row>
    <row r="35" spans="1:29" ht="15">
      <c r="A35" s="564"/>
      <c r="B35" s="1650" t="s">
        <v>1845</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23" t="s">
        <v>499</v>
      </c>
      <c r="Q35" s="1384" t="str">
        <f t="shared" si="8"/>
        <v>市政基础设施</v>
      </c>
      <c r="R35" s="1385" t="s">
        <v>5</v>
      </c>
      <c r="S35" s="1386">
        <f t="shared" si="9"/>
        <v>100</v>
      </c>
      <c r="T35" s="1385" t="s">
        <v>5</v>
      </c>
      <c r="U35" s="1386">
        <f t="shared" si="10"/>
        <v>100</v>
      </c>
      <c r="V35" s="1385" t="s">
        <v>5</v>
      </c>
      <c r="W35" s="1386">
        <f t="shared" si="11"/>
        <v>100</v>
      </c>
      <c r="X35" s="1379"/>
      <c r="Y35" s="3923"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23"/>
      <c r="Q36" s="1384" t="str">
        <f t="shared" si="8"/>
        <v>内部装修</v>
      </c>
      <c r="R36" s="1385" t="s">
        <v>5</v>
      </c>
      <c r="S36" s="1386">
        <f t="shared" si="9"/>
        <v>100</v>
      </c>
      <c r="T36" s="1385" t="s">
        <v>5</v>
      </c>
      <c r="U36" s="1386">
        <f t="shared" si="10"/>
        <v>100</v>
      </c>
      <c r="V36" s="1385" t="s">
        <v>5</v>
      </c>
      <c r="W36" s="1386">
        <f t="shared" si="11"/>
        <v>100</v>
      </c>
      <c r="X36" s="1379"/>
      <c r="Y36" s="3923"/>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23"/>
      <c r="Q37" s="1384" t="str">
        <f t="shared" si="8"/>
        <v>内部装修状况</v>
      </c>
      <c r="R37" s="1385" t="s">
        <v>5</v>
      </c>
      <c r="S37" s="1386">
        <f t="shared" si="9"/>
        <v>100</v>
      </c>
      <c r="T37" s="1385" t="s">
        <v>5</v>
      </c>
      <c r="U37" s="1386">
        <f t="shared" si="10"/>
        <v>100</v>
      </c>
      <c r="V37" s="1385" t="s">
        <v>5</v>
      </c>
      <c r="W37" s="1386">
        <f t="shared" si="11"/>
        <v>100</v>
      </c>
      <c r="X37" s="1379"/>
      <c r="Y37" s="3923"/>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923"/>
      <c r="Q38" s="1413">
        <f t="shared" si="8"/>
        <v>111</v>
      </c>
      <c r="R38" s="1389" t="s">
        <v>5</v>
      </c>
      <c r="S38" s="1390">
        <f t="shared" si="9"/>
        <v>100</v>
      </c>
      <c r="T38" s="1389" t="s">
        <v>5</v>
      </c>
      <c r="U38" s="1390">
        <f t="shared" si="10"/>
        <v>100</v>
      </c>
      <c r="V38" s="1389" t="s">
        <v>5</v>
      </c>
      <c r="W38" s="1390">
        <f t="shared" si="11"/>
        <v>100</v>
      </c>
      <c r="X38" s="1391"/>
      <c r="Y38" s="3923"/>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923"/>
      <c r="Q39" s="1384">
        <f t="shared" si="8"/>
        <v>111</v>
      </c>
      <c r="R39" s="1385" t="s">
        <v>5</v>
      </c>
      <c r="S39" s="1386">
        <f t="shared" si="9"/>
        <v>100</v>
      </c>
      <c r="T39" s="1385" t="s">
        <v>5</v>
      </c>
      <c r="U39" s="1386">
        <f t="shared" si="10"/>
        <v>100</v>
      </c>
      <c r="V39" s="1385" t="s">
        <v>5</v>
      </c>
      <c r="W39" s="1386">
        <f t="shared" si="11"/>
        <v>100</v>
      </c>
      <c r="X39" s="1379"/>
      <c r="Y39" s="3923"/>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4035"/>
      <c r="Q40" s="1384">
        <f t="shared" si="8"/>
        <v>111</v>
      </c>
      <c r="R40" s="1385" t="s">
        <v>5</v>
      </c>
      <c r="S40" s="1386">
        <f t="shared" si="9"/>
        <v>100</v>
      </c>
      <c r="T40" s="1385" t="s">
        <v>5</v>
      </c>
      <c r="U40" s="1386">
        <f t="shared" si="10"/>
        <v>100</v>
      </c>
      <c r="V40" s="1385" t="s">
        <v>5</v>
      </c>
      <c r="W40" s="1386">
        <f t="shared" si="11"/>
        <v>100</v>
      </c>
      <c r="X40" s="1379"/>
      <c r="Y40" s="4035"/>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918" t="str">
        <f>A41</f>
        <v>成交单价（元/平方米）</v>
      </c>
      <c r="Q41" s="3918"/>
      <c r="R41" s="4034">
        <f>E41</f>
        <v>0</v>
      </c>
      <c r="S41" s="4034"/>
      <c r="T41" s="4034">
        <f>G41</f>
        <v>0</v>
      </c>
      <c r="U41" s="4034"/>
      <c r="V41" s="4034">
        <f>I41</f>
        <v>0</v>
      </c>
      <c r="W41" s="4034"/>
      <c r="X41" s="1374"/>
      <c r="Y41" s="1393"/>
      <c r="Z41" s="1374"/>
      <c r="AA41" s="1374"/>
      <c r="AB41" s="1374"/>
      <c r="AC41" s="1374"/>
    </row>
    <row r="42" spans="1:29" ht="15.75" thickBot="1">
      <c r="A42" s="585" t="s">
        <v>2039</v>
      </c>
      <c r="B42" s="850"/>
      <c r="C42" s="2239" t="e">
        <f>R43</f>
        <v>#DIV/0!</v>
      </c>
      <c r="D42" s="2756" t="s">
        <v>2253</v>
      </c>
      <c r="E42" s="2240" t="e">
        <f>R42</f>
        <v>#DIV/0!</v>
      </c>
      <c r="F42" s="2757"/>
      <c r="G42" s="2239" t="e">
        <f>T42</f>
        <v>#DIV/0!</v>
      </c>
      <c r="H42" s="2757"/>
      <c r="I42" s="2240" t="e">
        <f>V42</f>
        <v>#DIV/0!</v>
      </c>
      <c r="J42" s="2757"/>
      <c r="K42" s="2765">
        <f>F42+H42+J42</f>
        <v>0</v>
      </c>
      <c r="L42" s="1866"/>
      <c r="M42" s="1867"/>
      <c r="N42" s="1856"/>
      <c r="O42" s="1867"/>
      <c r="P42" s="3918" t="str">
        <f>A42</f>
        <v>比较价格（元/平方米）</v>
      </c>
      <c r="Q42" s="3918"/>
      <c r="R42" s="4034" t="e">
        <f>IF(F1="售价",ROUND(PRODUCT(R41,AA7:AA40),0),ROUND(PRODUCT(R41,AA7:AA40),1))</f>
        <v>#DIV/0!</v>
      </c>
      <c r="S42" s="4034"/>
      <c r="T42" s="4034" t="e">
        <f>IF(F1="售价",ROUND(PRODUCT(T41,AB7:AB40),0),ROUND(PRODUCT(T41,AB7:AB40),1))</f>
        <v>#DIV/0!</v>
      </c>
      <c r="U42" s="4034"/>
      <c r="V42" s="4034" t="e">
        <f>IF(F1="售价",ROUND(PRODUCT(V41,AC7:AC40),0),ROUND(PRODUCT(V41,AC7:AC40),1))</f>
        <v>#DIV/0!</v>
      </c>
      <c r="W42" s="4034"/>
      <c r="X42" s="1374"/>
      <c r="Y42" s="1374"/>
      <c r="Z42" s="1374"/>
      <c r="AA42" s="1374"/>
      <c r="AB42" s="1374"/>
      <c r="AC42" s="1374"/>
    </row>
    <row r="43" spans="1:29" ht="15.75" thickBot="1">
      <c r="A43" s="589" t="s">
        <v>2190</v>
      </c>
      <c r="B43" s="590"/>
      <c r="C43" s="2241" t="e">
        <f>R43</f>
        <v>#DIV/0!</v>
      </c>
      <c r="D43" s="2241"/>
      <c r="E43" s="2241"/>
      <c r="F43" s="2241"/>
      <c r="G43" s="2241"/>
      <c r="H43" s="2241"/>
      <c r="I43" s="2241"/>
      <c r="J43" s="2241"/>
      <c r="K43" s="1419"/>
      <c r="L43" s="1866"/>
      <c r="M43" s="1867"/>
      <c r="N43" s="1867"/>
      <c r="O43" s="1867"/>
      <c r="P43" s="3924" t="str">
        <f>A43</f>
        <v>估价对象XX用房的比较价格（楼面单价，元/平方米）</v>
      </c>
      <c r="Q43" s="3925"/>
      <c r="R43" s="4033" t="e">
        <f>IF(F1="售价",ROUND(IF(D42="简单平均",AVERAGE(R42:V42),R42*F42+T42*H42+V42*J42),0),ROUND(IF(D42="简单平均",AVERAGE(R42:V42),R42*F42+T42*H42+V42*J42),1))</f>
        <v>#DIV/0!</v>
      </c>
      <c r="S43" s="4033"/>
      <c r="T43" s="4033"/>
      <c r="U43" s="4033"/>
      <c r="V43" s="4033"/>
      <c r="W43" s="4033"/>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2023-4</v>
      </c>
      <c r="D52" s="2283">
        <f>EDATE(C52,-1)</f>
        <v>44986</v>
      </c>
      <c r="E52" s="2283">
        <f t="shared" ref="E52:O52" si="13">EDATE(D52,-1)</f>
        <v>44958</v>
      </c>
      <c r="F52" s="2283">
        <f t="shared" si="13"/>
        <v>44927</v>
      </c>
      <c r="G52" s="2283">
        <f t="shared" si="13"/>
        <v>44896</v>
      </c>
      <c r="H52" s="2283">
        <f t="shared" si="13"/>
        <v>44866</v>
      </c>
      <c r="I52" s="2283">
        <f t="shared" si="13"/>
        <v>44835</v>
      </c>
      <c r="J52" s="2283">
        <f t="shared" si="13"/>
        <v>44805</v>
      </c>
      <c r="K52" s="2283">
        <f t="shared" si="13"/>
        <v>44774</v>
      </c>
      <c r="L52" s="2283">
        <f t="shared" si="13"/>
        <v>44743</v>
      </c>
      <c r="M52" s="2283">
        <f t="shared" si="13"/>
        <v>44713</v>
      </c>
      <c r="N52" s="2283">
        <f t="shared" si="13"/>
        <v>44682</v>
      </c>
      <c r="O52" s="2283">
        <f t="shared" si="13"/>
        <v>44652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1837</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1838</v>
      </c>
      <c r="C76" s="2205" t="s">
        <v>1839</v>
      </c>
      <c r="D76" s="2205" t="s">
        <v>1840</v>
      </c>
      <c r="E76" s="2205" t="s">
        <v>1841</v>
      </c>
      <c r="F76" s="2205" t="s">
        <v>1842</v>
      </c>
      <c r="G76" s="2205" t="s">
        <v>1843</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1836</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26" t="s">
        <v>738</v>
      </c>
      <c r="D4" s="3927"/>
      <c r="E4" s="3926" t="s">
        <v>739</v>
      </c>
      <c r="F4" s="3927"/>
      <c r="G4" s="3926" t="s">
        <v>740</v>
      </c>
      <c r="H4" s="3927"/>
      <c r="I4" s="3926" t="s">
        <v>741</v>
      </c>
      <c r="J4" s="3927"/>
      <c r="K4" s="484" t="s">
        <v>742</v>
      </c>
      <c r="L4" s="1855"/>
      <c r="M4" s="1856"/>
      <c r="N4" s="1856"/>
      <c r="O4" s="1856"/>
      <c r="P4" s="3928" t="s">
        <v>743</v>
      </c>
      <c r="Q4" s="3929"/>
      <c r="R4" s="3912" t="s">
        <v>739</v>
      </c>
      <c r="S4" s="3913"/>
      <c r="T4" s="3912" t="s">
        <v>740</v>
      </c>
      <c r="U4" s="3913"/>
      <c r="V4" s="3934" t="s">
        <v>741</v>
      </c>
      <c r="W4" s="3934"/>
      <c r="X4" s="1379"/>
      <c r="Y4" s="3912" t="s">
        <v>743</v>
      </c>
      <c r="Z4" s="3913"/>
      <c r="AA4" s="3907" t="s">
        <v>739</v>
      </c>
      <c r="AB4" s="3908" t="s">
        <v>740</v>
      </c>
      <c r="AC4" s="3907" t="s">
        <v>741</v>
      </c>
    </row>
    <row r="5" spans="1:29" ht="15">
      <c r="A5" s="485"/>
      <c r="B5" s="486"/>
      <c r="C5" s="3937" t="s">
        <v>2184</v>
      </c>
      <c r="D5" s="3938"/>
      <c r="E5" s="3937" t="s">
        <v>2185</v>
      </c>
      <c r="F5" s="3938"/>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3935" t="s">
        <v>2188</v>
      </c>
      <c r="D6" s="3936"/>
      <c r="E6" s="3939" t="s">
        <v>2188</v>
      </c>
      <c r="F6" s="3940"/>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10" t="s">
        <v>479</v>
      </c>
      <c r="Q7" s="3919"/>
      <c r="R7" s="1380" t="s">
        <v>5</v>
      </c>
      <c r="S7" s="1381">
        <f t="shared" ref="S7:S14" si="0">F7</f>
        <v>0</v>
      </c>
      <c r="T7" s="1380" t="s">
        <v>5</v>
      </c>
      <c r="U7" s="1381">
        <f t="shared" ref="U7:U14" si="1">H7</f>
        <v>0</v>
      </c>
      <c r="V7" s="1380" t="s">
        <v>5</v>
      </c>
      <c r="W7" s="1381">
        <f t="shared" ref="W7:W14"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36" si="3">D8/F8</f>
        <v>#DIV/0!</v>
      </c>
      <c r="AB8" s="1383" t="e">
        <f t="shared" ref="AB8:AB36" si="4">D8/H8</f>
        <v>#DIV/0!</v>
      </c>
      <c r="AC8" s="1383" t="e">
        <f t="shared" ref="AC8:AC36" si="5">D8/J8</f>
        <v>#DIV/0!</v>
      </c>
    </row>
    <row r="9" spans="1:29" s="1117" customFormat="1" ht="15">
      <c r="A9" s="2393"/>
      <c r="B9" s="2400" t="s">
        <v>2035</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18" t="s">
        <v>484</v>
      </c>
      <c r="Q9" s="1049" t="str">
        <f t="shared" ref="Q9:Q14" si="6">B9</f>
        <v>用途</v>
      </c>
      <c r="R9" s="1380" t="s">
        <v>5</v>
      </c>
      <c r="S9" s="1381">
        <f t="shared" si="0"/>
        <v>100</v>
      </c>
      <c r="T9" s="1380" t="s">
        <v>5</v>
      </c>
      <c r="U9" s="1381">
        <f t="shared" si="1"/>
        <v>100</v>
      </c>
      <c r="V9" s="1380" t="s">
        <v>5</v>
      </c>
      <c r="W9" s="1381">
        <f t="shared" si="2"/>
        <v>100</v>
      </c>
      <c r="X9" s="1382"/>
      <c r="Y9" s="3870" t="s">
        <v>485</v>
      </c>
      <c r="Z9" s="1048" t="str">
        <f t="shared" ref="Z9:Z14" si="7">Q9</f>
        <v>用途</v>
      </c>
      <c r="AA9" s="1383">
        <f t="shared" si="3"/>
        <v>1</v>
      </c>
      <c r="AB9" s="1383">
        <f t="shared" si="4"/>
        <v>1</v>
      </c>
      <c r="AC9" s="1383">
        <f t="shared" si="5"/>
        <v>1</v>
      </c>
    </row>
    <row r="10" spans="1:29" s="1198" customFormat="1" ht="27">
      <c r="A10" s="2394"/>
      <c r="B10" s="2399" t="s">
        <v>2036</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18"/>
      <c r="Q11" s="1049">
        <f t="shared" si="6"/>
        <v>111</v>
      </c>
      <c r="R11" s="1380" t="s">
        <v>5</v>
      </c>
      <c r="S11" s="1381">
        <f t="shared" si="0"/>
        <v>100</v>
      </c>
      <c r="T11" s="1380" t="s">
        <v>5</v>
      </c>
      <c r="U11" s="1381">
        <f t="shared" si="1"/>
        <v>100</v>
      </c>
      <c r="V11" s="1380" t="s">
        <v>5</v>
      </c>
      <c r="W11" s="1381">
        <f t="shared" si="2"/>
        <v>100</v>
      </c>
      <c r="X11" s="1382"/>
      <c r="Y11" s="3870"/>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
      <c r="A14" s="2389" t="s">
        <v>2033</v>
      </c>
      <c r="B14" s="517" t="s">
        <v>492</v>
      </c>
      <c r="C14" s="883"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0"/>
      <c r="L14" s="1864"/>
      <c r="M14" s="1856"/>
      <c r="N14" s="1856"/>
      <c r="O14" s="1863"/>
      <c r="P14" s="3920" t="s">
        <v>489</v>
      </c>
      <c r="Q14" s="1384" t="str">
        <f t="shared" si="6"/>
        <v>交通便捷度</v>
      </c>
      <c r="R14" s="1385" t="s">
        <v>5</v>
      </c>
      <c r="S14" s="1386">
        <f t="shared" si="0"/>
        <v>100</v>
      </c>
      <c r="T14" s="1385" t="s">
        <v>5</v>
      </c>
      <c r="U14" s="1386">
        <f t="shared" si="1"/>
        <v>100</v>
      </c>
      <c r="V14" s="1385" t="s">
        <v>5</v>
      </c>
      <c r="W14" s="1386">
        <f t="shared" si="2"/>
        <v>100</v>
      </c>
      <c r="X14" s="1379"/>
      <c r="Y14" s="3920" t="s">
        <v>489</v>
      </c>
      <c r="Z14" s="1387" t="str">
        <f t="shared" si="7"/>
        <v>交通便捷度</v>
      </c>
      <c r="AA14" s="1388">
        <f t="shared" si="3"/>
        <v>1</v>
      </c>
      <c r="AB14" s="1388">
        <f t="shared" si="4"/>
        <v>1</v>
      </c>
      <c r="AC14" s="1388">
        <f t="shared" si="5"/>
        <v>1</v>
      </c>
    </row>
    <row r="15" spans="1:29" ht="15">
      <c r="A15" s="485"/>
      <c r="B15" s="886"/>
      <c r="C15" s="546"/>
      <c r="D15" s="525"/>
      <c r="E15" s="546"/>
      <c r="F15" s="527"/>
      <c r="G15" s="546"/>
      <c r="H15" s="529"/>
      <c r="I15" s="546"/>
      <c r="J15" s="525"/>
      <c r="K15" s="861"/>
      <c r="L15" s="1864"/>
      <c r="M15" s="1856"/>
      <c r="N15" s="1856"/>
      <c r="O15" s="1863"/>
      <c r="P15" s="3921"/>
      <c r="Q15" s="1384"/>
      <c r="R15" s="1385"/>
      <c r="S15" s="1386"/>
      <c r="T15" s="1385"/>
      <c r="U15" s="1386"/>
      <c r="V15" s="1385"/>
      <c r="W15" s="1386"/>
      <c r="X15" s="1379"/>
      <c r="Y15" s="3921"/>
      <c r="Z15" s="1387"/>
      <c r="AA15" s="1388">
        <v>1</v>
      </c>
      <c r="AB15" s="1388">
        <v>1</v>
      </c>
      <c r="AC15" s="1388">
        <v>1</v>
      </c>
    </row>
    <row r="16" spans="1:29" ht="15">
      <c r="A16" s="485"/>
      <c r="B16" s="2210" t="s">
        <v>1826</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0"/>
      <c r="L16" s="1864"/>
      <c r="M16" s="1856"/>
      <c r="N16" s="1856"/>
      <c r="O16" s="1863"/>
      <c r="P16" s="3921"/>
      <c r="Q16" s="1384" t="str">
        <f>B16</f>
        <v>公共配套设施</v>
      </c>
      <c r="R16" s="1385" t="s">
        <v>5</v>
      </c>
      <c r="S16" s="1386">
        <f>F16</f>
        <v>100</v>
      </c>
      <c r="T16" s="1385" t="s">
        <v>5</v>
      </c>
      <c r="U16" s="1386">
        <f>H16</f>
        <v>100</v>
      </c>
      <c r="V16" s="1385" t="s">
        <v>5</v>
      </c>
      <c r="W16" s="1386">
        <f>J16</f>
        <v>100</v>
      </c>
      <c r="X16" s="1379"/>
      <c r="Y16" s="3921"/>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1"/>
      <c r="L17" s="1864"/>
      <c r="M17" s="1856"/>
      <c r="N17" s="1856"/>
      <c r="O17" s="1863"/>
      <c r="P17" s="3921"/>
      <c r="Q17" s="1384"/>
      <c r="R17" s="1385"/>
      <c r="S17" s="1386"/>
      <c r="T17" s="1385"/>
      <c r="U17" s="1386"/>
      <c r="V17" s="1385"/>
      <c r="W17" s="1386"/>
      <c r="X17" s="1379"/>
      <c r="Y17" s="3921"/>
      <c r="Z17" s="1387"/>
      <c r="AA17" s="1388">
        <v>1</v>
      </c>
      <c r="AB17" s="1388">
        <v>1</v>
      </c>
      <c r="AC17" s="1388">
        <v>1</v>
      </c>
    </row>
    <row r="18" spans="1:29" ht="15">
      <c r="A18" s="485"/>
      <c r="B18" s="2198" t="s">
        <v>1838</v>
      </c>
      <c r="C18" s="835" t="str">
        <f>IF(B1="工业",估价对象房地状况!G6,估价对象房地状况!C8)</f>
        <v>六通</v>
      </c>
      <c r="D18" s="529">
        <v>100</v>
      </c>
      <c r="E18" s="542"/>
      <c r="F18" s="541">
        <f>SUMIF(67:67,E19,68:68)-SUMIF(67:67,C19,68:68)+100</f>
        <v>100</v>
      </c>
      <c r="G18" s="542"/>
      <c r="H18" s="535">
        <f>SUMIF(67:67,G19,68:68)-SUMIF(67:67,C19,68:68)+100</f>
        <v>100</v>
      </c>
      <c r="I18" s="540"/>
      <c r="J18" s="535">
        <f>SUMIF(67:67,I19,68:68)-SUMIF(67:67,C19,68:68)+100</f>
        <v>100</v>
      </c>
      <c r="K18" s="860"/>
      <c r="L18" s="1864"/>
      <c r="M18" s="1856"/>
      <c r="N18" s="1856"/>
      <c r="O18" s="1863"/>
      <c r="P18" s="3921"/>
      <c r="Q18" s="2192" t="str">
        <f>B18</f>
        <v>基础设施水平</v>
      </c>
      <c r="R18" s="1385" t="s">
        <v>5</v>
      </c>
      <c r="S18" s="1386">
        <f>F18</f>
        <v>100</v>
      </c>
      <c r="T18" s="1385" t="s">
        <v>5</v>
      </c>
      <c r="U18" s="1386">
        <f>H18</f>
        <v>100</v>
      </c>
      <c r="V18" s="1385" t="s">
        <v>5</v>
      </c>
      <c r="W18" s="1386">
        <f>J18</f>
        <v>100</v>
      </c>
      <c r="X18" s="2194"/>
      <c r="Y18" s="3921"/>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21"/>
      <c r="Q19" s="2192"/>
      <c r="R19" s="1385"/>
      <c r="S19" s="1386"/>
      <c r="T19" s="1385"/>
      <c r="U19" s="1386"/>
      <c r="V19" s="1385"/>
      <c r="W19" s="1386"/>
      <c r="X19" s="2194"/>
      <c r="Y19" s="3921"/>
      <c r="Z19" s="2193"/>
      <c r="AA19" s="1388">
        <v>1</v>
      </c>
      <c r="AB19" s="1388">
        <v>1</v>
      </c>
      <c r="AC19" s="1388">
        <v>1</v>
      </c>
    </row>
    <row r="20" spans="1:29" ht="15">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0"/>
      <c r="L20" s="1864"/>
      <c r="M20" s="1856"/>
      <c r="N20" s="1856"/>
      <c r="O20" s="1863"/>
      <c r="P20" s="3921"/>
      <c r="Q20" s="1384" t="str">
        <f>B20</f>
        <v>自然及人文环境</v>
      </c>
      <c r="R20" s="1385" t="s">
        <v>5</v>
      </c>
      <c r="S20" s="1386">
        <f>F20</f>
        <v>100</v>
      </c>
      <c r="T20" s="1385" t="s">
        <v>5</v>
      </c>
      <c r="U20" s="1386">
        <f>H20</f>
        <v>100</v>
      </c>
      <c r="V20" s="1385" t="s">
        <v>5</v>
      </c>
      <c r="W20" s="1386">
        <f>J20</f>
        <v>100</v>
      </c>
      <c r="X20" s="1379"/>
      <c r="Y20" s="3921"/>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1"/>
      <c r="L21" s="1864"/>
      <c r="M21" s="1856"/>
      <c r="N21" s="1856"/>
      <c r="O21" s="1863"/>
      <c r="P21" s="3921"/>
      <c r="Q21" s="1384"/>
      <c r="R21" s="1385"/>
      <c r="S21" s="1386"/>
      <c r="T21" s="1385"/>
      <c r="U21" s="1386"/>
      <c r="V21" s="1385"/>
      <c r="W21" s="1386"/>
      <c r="X21" s="1379"/>
      <c r="Y21" s="3921"/>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21"/>
      <c r="Q22" s="1384" t="str">
        <f>B22</f>
        <v>楼层</v>
      </c>
      <c r="R22" s="1385" t="s">
        <v>5</v>
      </c>
      <c r="S22" s="1386">
        <f>F22</f>
        <v>100</v>
      </c>
      <c r="T22" s="1385" t="s">
        <v>5</v>
      </c>
      <c r="U22" s="1386">
        <f>H22</f>
        <v>100</v>
      </c>
      <c r="V22" s="1385" t="s">
        <v>5</v>
      </c>
      <c r="W22" s="1386">
        <f>J22</f>
        <v>100</v>
      </c>
      <c r="X22" s="1379"/>
      <c r="Y22" s="3921"/>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21"/>
      <c r="Q23" s="1384">
        <f>B23</f>
        <v>111</v>
      </c>
      <c r="R23" s="1385" t="s">
        <v>5</v>
      </c>
      <c r="S23" s="1386">
        <f>F23</f>
        <v>100</v>
      </c>
      <c r="T23" s="1385" t="s">
        <v>5</v>
      </c>
      <c r="U23" s="1386">
        <f>H23</f>
        <v>100</v>
      </c>
      <c r="V23" s="1385" t="s">
        <v>5</v>
      </c>
      <c r="W23" s="1386">
        <f>J23</f>
        <v>100</v>
      </c>
      <c r="X23" s="1379"/>
      <c r="Y23" s="3921"/>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21"/>
      <c r="Q24" s="1384">
        <f t="shared" ref="Q24:Q36" si="8">B24</f>
        <v>111</v>
      </c>
      <c r="R24" s="1385" t="s">
        <v>5</v>
      </c>
      <c r="S24" s="1386">
        <f>F24</f>
        <v>100</v>
      </c>
      <c r="T24" s="1385" t="s">
        <v>5</v>
      </c>
      <c r="U24" s="1386">
        <f>H24</f>
        <v>100</v>
      </c>
      <c r="V24" s="1385" t="s">
        <v>5</v>
      </c>
      <c r="W24" s="1386">
        <f>J24</f>
        <v>100</v>
      </c>
      <c r="X24" s="1379"/>
      <c r="Y24" s="3921"/>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921"/>
      <c r="Q25" s="1049">
        <f t="shared" si="8"/>
        <v>111</v>
      </c>
      <c r="R25" s="1380" t="s">
        <v>5</v>
      </c>
      <c r="S25" s="1381">
        <f>F25</f>
        <v>100</v>
      </c>
      <c r="T25" s="1380" t="s">
        <v>5</v>
      </c>
      <c r="U25" s="1381">
        <f>H25</f>
        <v>100</v>
      </c>
      <c r="V25" s="1380" t="s">
        <v>5</v>
      </c>
      <c r="W25" s="1381">
        <f>J25</f>
        <v>100</v>
      </c>
      <c r="X25" s="1382"/>
      <c r="Y25" s="3921"/>
      <c r="Z25" s="1048">
        <f>Q25</f>
        <v>111</v>
      </c>
      <c r="AA25" s="1388">
        <f>D25/F25</f>
        <v>1</v>
      </c>
      <c r="AB25" s="1388">
        <f>D25/H25</f>
        <v>1</v>
      </c>
      <c r="AC25" s="1388">
        <f>D25/J25</f>
        <v>1</v>
      </c>
    </row>
    <row r="26" spans="1:29" ht="15">
      <c r="A26" s="2386" t="s">
        <v>2034</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22"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23"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923"/>
      <c r="Q27" s="1413" t="str">
        <f t="shared" si="8"/>
        <v>项目停车位配比</v>
      </c>
      <c r="R27" s="1389" t="s">
        <v>5</v>
      </c>
      <c r="S27" s="1390">
        <f t="shared" si="9"/>
        <v>100</v>
      </c>
      <c r="T27" s="1389" t="s">
        <v>5</v>
      </c>
      <c r="U27" s="1390">
        <f t="shared" si="10"/>
        <v>100</v>
      </c>
      <c r="V27" s="1389" t="s">
        <v>5</v>
      </c>
      <c r="W27" s="1390">
        <f t="shared" si="11"/>
        <v>100</v>
      </c>
      <c r="X27" s="1391"/>
      <c r="Y27" s="3923"/>
      <c r="Z27" s="1392" t="str">
        <f t="shared" si="12"/>
        <v>项目停车位配比</v>
      </c>
      <c r="AA27" s="1388">
        <f t="shared" si="3"/>
        <v>1</v>
      </c>
      <c r="AB27" s="1388">
        <f t="shared" si="4"/>
        <v>1</v>
      </c>
      <c r="AC27" s="1388">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23"/>
      <c r="Q28" s="1384" t="str">
        <f t="shared" si="8"/>
        <v>公共部分装修</v>
      </c>
      <c r="R28" s="1385" t="s">
        <v>5</v>
      </c>
      <c r="S28" s="1386">
        <f t="shared" si="9"/>
        <v>100</v>
      </c>
      <c r="T28" s="1385" t="s">
        <v>5</v>
      </c>
      <c r="U28" s="1386">
        <f t="shared" si="10"/>
        <v>100</v>
      </c>
      <c r="V28" s="1385" t="s">
        <v>5</v>
      </c>
      <c r="W28" s="1386">
        <f t="shared" si="11"/>
        <v>100</v>
      </c>
      <c r="X28" s="1379"/>
      <c r="Y28" s="3923"/>
      <c r="Z28" s="1387" t="str">
        <f t="shared" si="12"/>
        <v>公共部分装修</v>
      </c>
      <c r="AA28" s="1388">
        <f t="shared" si="3"/>
        <v>1</v>
      </c>
      <c r="AB28" s="1388">
        <f t="shared" si="4"/>
        <v>1</v>
      </c>
      <c r="AC28" s="1388">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4"/>
      <c r="M29" s="1856"/>
      <c r="N29" s="1856"/>
      <c r="O29" s="1863"/>
      <c r="P29" s="3923"/>
      <c r="Q29" s="1384" t="str">
        <f t="shared" si="8"/>
        <v>成新率</v>
      </c>
      <c r="R29" s="1385" t="s">
        <v>5</v>
      </c>
      <c r="S29" s="1386" t="e">
        <f t="shared" si="9"/>
        <v>#N/A</v>
      </c>
      <c r="T29" s="1385" t="s">
        <v>5</v>
      </c>
      <c r="U29" s="1386" t="e">
        <f t="shared" si="10"/>
        <v>#N/A</v>
      </c>
      <c r="V29" s="1385" t="s">
        <v>5</v>
      </c>
      <c r="W29" s="1386" t="e">
        <f t="shared" si="11"/>
        <v>#N/A</v>
      </c>
      <c r="X29" s="1379"/>
      <c r="Y29" s="3923"/>
      <c r="Z29" s="1387" t="str">
        <f t="shared" si="12"/>
        <v>成新率</v>
      </c>
      <c r="AA29" s="1388" t="e">
        <f t="shared" si="3"/>
        <v>#N/A</v>
      </c>
      <c r="AB29" s="1388" t="e">
        <f t="shared" si="4"/>
        <v>#N/A</v>
      </c>
      <c r="AC29" s="1388"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923"/>
      <c r="Q30" s="1384" t="str">
        <f t="shared" si="8"/>
        <v>物业等级</v>
      </c>
      <c r="R30" s="1385" t="s">
        <v>5</v>
      </c>
      <c r="S30" s="1386">
        <f t="shared" si="9"/>
        <v>100</v>
      </c>
      <c r="T30" s="1385" t="s">
        <v>5</v>
      </c>
      <c r="U30" s="1386">
        <f t="shared" si="10"/>
        <v>100</v>
      </c>
      <c r="V30" s="1385" t="s">
        <v>5</v>
      </c>
      <c r="W30" s="1386">
        <f t="shared" si="11"/>
        <v>100</v>
      </c>
      <c r="X30" s="1379"/>
      <c r="Y30" s="3923"/>
      <c r="Z30" s="1387" t="str">
        <f t="shared" si="12"/>
        <v>物业等级</v>
      </c>
      <c r="AA30" s="1388">
        <f t="shared" si="3"/>
        <v>1</v>
      </c>
      <c r="AB30" s="1388">
        <f t="shared" si="4"/>
        <v>1</v>
      </c>
      <c r="AC30" s="1388">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7"/>
      <c r="M31" s="1858"/>
      <c r="N31" s="1858"/>
      <c r="O31" s="1859"/>
      <c r="P31" s="3923"/>
      <c r="Q31" s="1049" t="str">
        <f t="shared" si="8"/>
        <v>停车位面积</v>
      </c>
      <c r="R31" s="1380" t="s">
        <v>5</v>
      </c>
      <c r="S31" s="1381" t="e">
        <f t="shared" si="9"/>
        <v>#N/A</v>
      </c>
      <c r="T31" s="1380" t="s">
        <v>5</v>
      </c>
      <c r="U31" s="1381" t="e">
        <f t="shared" si="10"/>
        <v>#N/A</v>
      </c>
      <c r="V31" s="1380" t="s">
        <v>5</v>
      </c>
      <c r="W31" s="1381" t="e">
        <f t="shared" si="11"/>
        <v>#N/A</v>
      </c>
      <c r="X31" s="1382"/>
      <c r="Y31" s="3923"/>
      <c r="Z31" s="1048" t="str">
        <f t="shared" si="12"/>
        <v>停车位面积</v>
      </c>
      <c r="AA31" s="1383" t="e">
        <f t="shared" si="3"/>
        <v>#N/A</v>
      </c>
      <c r="AB31" s="1383" t="e">
        <f t="shared" si="4"/>
        <v>#N/A</v>
      </c>
      <c r="AC31" s="1383"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23" t="s">
        <v>499</v>
      </c>
      <c r="Q32" s="1384" t="str">
        <f t="shared" si="8"/>
        <v>车位类型</v>
      </c>
      <c r="R32" s="1385" t="s">
        <v>5</v>
      </c>
      <c r="S32" s="1386">
        <f t="shared" si="9"/>
        <v>100</v>
      </c>
      <c r="T32" s="1385" t="s">
        <v>5</v>
      </c>
      <c r="U32" s="1386">
        <f t="shared" si="10"/>
        <v>100</v>
      </c>
      <c r="V32" s="1385" t="s">
        <v>5</v>
      </c>
      <c r="W32" s="1386">
        <f t="shared" si="11"/>
        <v>100</v>
      </c>
      <c r="X32" s="1379"/>
      <c r="Y32" s="3923" t="s">
        <v>499</v>
      </c>
      <c r="Z32" s="1387" t="str">
        <f t="shared" si="12"/>
        <v>车位类型</v>
      </c>
      <c r="AA32" s="1388">
        <f t="shared" si="3"/>
        <v>1</v>
      </c>
      <c r="AB32" s="1388">
        <f t="shared" si="4"/>
        <v>1</v>
      </c>
      <c r="AC32" s="1388">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23"/>
      <c r="Q33" s="1384" t="str">
        <f t="shared" si="8"/>
        <v>是否直接入户</v>
      </c>
      <c r="R33" s="1385" t="s">
        <v>5</v>
      </c>
      <c r="S33" s="1386">
        <f t="shared" si="9"/>
        <v>100</v>
      </c>
      <c r="T33" s="1385" t="s">
        <v>5</v>
      </c>
      <c r="U33" s="1386">
        <f t="shared" si="10"/>
        <v>100</v>
      </c>
      <c r="V33" s="1385" t="s">
        <v>5</v>
      </c>
      <c r="W33" s="1386">
        <f t="shared" si="11"/>
        <v>100</v>
      </c>
      <c r="X33" s="1379"/>
      <c r="Y33" s="3923"/>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23"/>
      <c r="Q34" s="1384">
        <f t="shared" si="8"/>
        <v>111</v>
      </c>
      <c r="R34" s="1385" t="s">
        <v>5</v>
      </c>
      <c r="S34" s="1386">
        <f t="shared" si="9"/>
        <v>100</v>
      </c>
      <c r="T34" s="1385" t="s">
        <v>5</v>
      </c>
      <c r="U34" s="1386">
        <f t="shared" si="10"/>
        <v>100</v>
      </c>
      <c r="V34" s="1385" t="s">
        <v>5</v>
      </c>
      <c r="W34" s="1386">
        <f t="shared" si="11"/>
        <v>100</v>
      </c>
      <c r="X34" s="1379"/>
      <c r="Y34" s="3923"/>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23"/>
      <c r="Q35" s="1413">
        <f t="shared" si="8"/>
        <v>111</v>
      </c>
      <c r="R35" s="1389" t="s">
        <v>5</v>
      </c>
      <c r="S35" s="1390">
        <f t="shared" si="9"/>
        <v>100</v>
      </c>
      <c r="T35" s="1389" t="s">
        <v>5</v>
      </c>
      <c r="U35" s="1390">
        <f t="shared" si="10"/>
        <v>100</v>
      </c>
      <c r="V35" s="1389" t="s">
        <v>5</v>
      </c>
      <c r="W35" s="1390">
        <f t="shared" si="11"/>
        <v>100</v>
      </c>
      <c r="X35" s="1391"/>
      <c r="Y35" s="3923"/>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23"/>
      <c r="Q36" s="1384">
        <f t="shared" si="8"/>
        <v>111</v>
      </c>
      <c r="R36" s="1385" t="s">
        <v>5</v>
      </c>
      <c r="S36" s="1386">
        <f t="shared" si="9"/>
        <v>100</v>
      </c>
      <c r="T36" s="1385" t="s">
        <v>5</v>
      </c>
      <c r="U36" s="1386">
        <f t="shared" si="10"/>
        <v>100</v>
      </c>
      <c r="V36" s="1385" t="s">
        <v>5</v>
      </c>
      <c r="W36" s="1386">
        <f t="shared" si="11"/>
        <v>100</v>
      </c>
      <c r="X36" s="1379"/>
      <c r="Y36" s="3923"/>
      <c r="Z36" s="1387">
        <f t="shared" si="12"/>
        <v>111</v>
      </c>
      <c r="AA36" s="1388">
        <f t="shared" si="3"/>
        <v>1</v>
      </c>
      <c r="AB36" s="1388">
        <f t="shared" si="4"/>
        <v>1</v>
      </c>
      <c r="AC36" s="1388">
        <f t="shared" si="5"/>
        <v>1</v>
      </c>
    </row>
    <row r="37" spans="1:29" ht="15">
      <c r="A37" s="1631" t="s">
        <v>1594</v>
      </c>
      <c r="B37" s="1632" t="s">
        <v>1595</v>
      </c>
      <c r="C37" s="2233" t="s">
        <v>0</v>
      </c>
      <c r="D37" s="2234"/>
      <c r="E37" s="2235"/>
      <c r="F37" s="2236"/>
      <c r="G37" s="2237"/>
      <c r="H37" s="2238"/>
      <c r="I37" s="2235"/>
      <c r="J37" s="2238"/>
      <c r="K37" s="1418"/>
      <c r="L37" s="1866"/>
      <c r="M37" s="1867"/>
      <c r="N37" s="1856"/>
      <c r="O37" s="1867"/>
      <c r="P37" s="3918" t="str">
        <f>A37</f>
        <v>成交单价</v>
      </c>
      <c r="Q37" s="3918"/>
      <c r="R37" s="4034">
        <f>E37</f>
        <v>0</v>
      </c>
      <c r="S37" s="4034"/>
      <c r="T37" s="4034">
        <f>G37</f>
        <v>0</v>
      </c>
      <c r="U37" s="4034"/>
      <c r="V37" s="4034">
        <f>I37</f>
        <v>0</v>
      </c>
      <c r="W37" s="4034"/>
      <c r="X37" s="1374"/>
      <c r="Y37" s="1393"/>
      <c r="Z37" s="1374"/>
      <c r="AA37" s="1374"/>
      <c r="AB37" s="1374"/>
      <c r="AC37" s="1374"/>
    </row>
    <row r="38" spans="1:29" ht="15.75" thickBot="1">
      <c r="A38" s="585" t="s">
        <v>2039</v>
      </c>
      <c r="B38" s="850"/>
      <c r="C38" s="2239" t="e">
        <f>R39</f>
        <v>#DIV/0!</v>
      </c>
      <c r="D38" s="2756" t="s">
        <v>2253</v>
      </c>
      <c r="E38" s="2240" t="e">
        <f>R38</f>
        <v>#DIV/0!</v>
      </c>
      <c r="F38" s="2757"/>
      <c r="G38" s="2239" t="e">
        <f>T38</f>
        <v>#DIV/0!</v>
      </c>
      <c r="H38" s="2757"/>
      <c r="I38" s="2240" t="e">
        <f>V38</f>
        <v>#DIV/0!</v>
      </c>
      <c r="J38" s="2757"/>
      <c r="K38" s="2765">
        <f>F38+H38+J38</f>
        <v>0</v>
      </c>
      <c r="L38" s="1866"/>
      <c r="M38" s="1867"/>
      <c r="N38" s="1867"/>
      <c r="O38" s="1867"/>
      <c r="P38" s="3918" t="str">
        <f>A38</f>
        <v>比较价格（元/平方米）</v>
      </c>
      <c r="Q38" s="3918"/>
      <c r="R38" s="4034" t="e">
        <f>IF(F1="售价",ROUND(PRODUCT(R37,AA7:AA36),0),ROUND(PRODUCT(R37,AA7:AA36),1))</f>
        <v>#DIV/0!</v>
      </c>
      <c r="S38" s="4034"/>
      <c r="T38" s="4034" t="e">
        <f>IF(F1="售价",ROUND(PRODUCT(T37,AB7:AB36),0),ROUND(PRODUCT(T37,AB7:AB36),1))</f>
        <v>#DIV/0!</v>
      </c>
      <c r="U38" s="4034"/>
      <c r="V38" s="4034" t="e">
        <f>IF(F1="售价",ROUND(PRODUCT(V37,AC7:AC36),0),ROUND(PRODUCT(V37,AC7:AC36),1))</f>
        <v>#DIV/0!</v>
      </c>
      <c r="W38" s="4034"/>
      <c r="X38" s="1374"/>
      <c r="Y38" s="1374"/>
      <c r="Z38" s="1374"/>
      <c r="AA38" s="1374"/>
      <c r="AB38" s="1374"/>
      <c r="AC38" s="1374"/>
    </row>
    <row r="39" spans="1:29" ht="15.75" thickBot="1">
      <c r="A39" s="589" t="s">
        <v>2190</v>
      </c>
      <c r="B39" s="590"/>
      <c r="C39" s="2241" t="e">
        <f>R39</f>
        <v>#DIV/0!</v>
      </c>
      <c r="D39" s="2241"/>
      <c r="E39" s="2241"/>
      <c r="F39" s="2241"/>
      <c r="G39" s="2241"/>
      <c r="H39" s="2241"/>
      <c r="I39" s="2241"/>
      <c r="J39" s="2241"/>
      <c r="K39" s="1419"/>
      <c r="L39" s="1866"/>
      <c r="M39" s="1867"/>
      <c r="N39" s="1867"/>
      <c r="O39" s="1867"/>
      <c r="P39" s="3924" t="str">
        <f>A39</f>
        <v>估价对象XX用房的比较价格（楼面单价，元/平方米）</v>
      </c>
      <c r="Q39" s="3925"/>
      <c r="R39" s="4033" t="e">
        <f>IF(F1="售价",ROUND(IF(D38="简单平均",AVERAGE(R38:W38),R38*F38+T38*H38+V38*J38),0),ROUND(IF(D38="简单平均",AVERAGE(R38:V38),R38*F38+T38*H38+V38*J38),1))</f>
        <v>#DIV/0!</v>
      </c>
      <c r="S39" s="4033"/>
      <c r="T39" s="4033"/>
      <c r="U39" s="4033"/>
      <c r="V39" s="4033"/>
      <c r="W39" s="4033"/>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2023-4</v>
      </c>
      <c r="D48" s="2283">
        <f>EDATE(C48,-1)</f>
        <v>44986</v>
      </c>
      <c r="E48" s="2283">
        <f t="shared" ref="E48:O48" si="13">EDATE(D48,-1)</f>
        <v>44958</v>
      </c>
      <c r="F48" s="2283">
        <f t="shared" si="13"/>
        <v>44927</v>
      </c>
      <c r="G48" s="2283">
        <f t="shared" si="13"/>
        <v>44896</v>
      </c>
      <c r="H48" s="2283">
        <f t="shared" si="13"/>
        <v>44866</v>
      </c>
      <c r="I48" s="2283">
        <f t="shared" si="13"/>
        <v>44835</v>
      </c>
      <c r="J48" s="2283">
        <f t="shared" si="13"/>
        <v>44805</v>
      </c>
      <c r="K48" s="2283">
        <f t="shared" si="13"/>
        <v>44774</v>
      </c>
      <c r="L48" s="2283">
        <f t="shared" si="13"/>
        <v>44743</v>
      </c>
      <c r="M48" s="2283">
        <f t="shared" si="13"/>
        <v>44713</v>
      </c>
      <c r="N48" s="2283">
        <f t="shared" si="13"/>
        <v>44682</v>
      </c>
      <c r="O48" s="2283">
        <f t="shared" si="13"/>
        <v>44652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1837</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1838</v>
      </c>
      <c r="C67" s="2205" t="s">
        <v>1839</v>
      </c>
      <c r="D67" s="2205" t="s">
        <v>1840</v>
      </c>
      <c r="E67" s="2205" t="s">
        <v>1841</v>
      </c>
      <c r="F67" s="2205" t="s">
        <v>1842</v>
      </c>
      <c r="G67" s="2205" t="s">
        <v>1843</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受贵公司委托，我公司对海南省三亚市吉阳区抱坡村住宅、商业用地出让国有建设用地使用权抵押价格进行了预评估。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三亚市吉阳区抱坡村住宅、商业用地出让国有建设用地使用权。根据《国有土地使用证》[]，估价对象（分摊）出让国有建设用地使用权面积为39137.98平方米。根据《建设工程规划许可证》[]、《出让合同》[]，估价对象规划建筑面积为127861.33平方米。</v>
      </c>
    </row>
    <row r="7" spans="1:4" ht="93.75">
      <c r="A7" s="2352" t="s">
        <v>2027</v>
      </c>
    </row>
    <row r="8" spans="1:4" ht="18.75">
      <c r="A8" s="1581" t="s">
        <v>1430</v>
      </c>
    </row>
    <row r="9" spans="1:4" ht="75">
      <c r="A9" s="1583" t="str">
        <f>IF(项目基本情况!B8="抵押",IF(项目基本情况!B5=项目基本情况!B6,定义!C51,定义!B51),定义!D51)</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2023年4月18日（评估专业人员勘察现场之日）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根据《国有土地使用证》[]，估价对象（分摊）出让国有建设用地使用权面积为39137.98平方米。根据《建设工程规划许可证》[]、《出让合同》[]，估价对象规划建筑面积为127861.33平方米。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2028</v>
      </c>
    </row>
    <row r="24" spans="1:1" ht="18.75">
      <c r="A24" s="1578" t="s">
        <v>1592</v>
      </c>
    </row>
    <row r="25" spans="1:1" ht="93.75">
      <c r="A25" s="1578" t="str">
        <f>定义!C53</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926" t="s">
        <v>738</v>
      </c>
      <c r="D4" s="3927"/>
      <c r="E4" s="3952" t="s">
        <v>739</v>
      </c>
      <c r="F4" s="3953"/>
      <c r="G4" s="3926" t="s">
        <v>740</v>
      </c>
      <c r="H4" s="3927"/>
      <c r="I4" s="3926" t="s">
        <v>741</v>
      </c>
      <c r="J4" s="3927"/>
      <c r="K4" s="484" t="s">
        <v>742</v>
      </c>
      <c r="L4" s="1855"/>
      <c r="M4" s="1856"/>
      <c r="N4" s="1856"/>
      <c r="O4" s="1856"/>
      <c r="P4" s="3928" t="s">
        <v>743</v>
      </c>
      <c r="Q4" s="3929"/>
      <c r="R4" s="3912" t="s">
        <v>739</v>
      </c>
      <c r="S4" s="3913"/>
      <c r="T4" s="3912" t="s">
        <v>740</v>
      </c>
      <c r="U4" s="3913"/>
      <c r="V4" s="3934" t="s">
        <v>741</v>
      </c>
      <c r="W4" s="3934"/>
      <c r="X4" s="1379"/>
      <c r="Y4" s="3912" t="s">
        <v>743</v>
      </c>
      <c r="Z4" s="3913"/>
      <c r="AA4" s="3907" t="s">
        <v>739</v>
      </c>
      <c r="AB4" s="3908" t="s">
        <v>740</v>
      </c>
      <c r="AC4" s="3907" t="s">
        <v>741</v>
      </c>
    </row>
    <row r="5" spans="1:29" ht="15">
      <c r="A5" s="485"/>
      <c r="B5" s="486"/>
      <c r="C5" s="3937" t="s">
        <v>2184</v>
      </c>
      <c r="D5" s="3938"/>
      <c r="E5" s="3954" t="s">
        <v>2185</v>
      </c>
      <c r="F5" s="3955"/>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08"/>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09"/>
      <c r="AC6" s="3909"/>
    </row>
    <row r="7" spans="1:29" s="1117" customFormat="1" ht="15.75" thickBot="1">
      <c r="A7" s="2391"/>
      <c r="B7" s="2398" t="s">
        <v>478</v>
      </c>
      <c r="C7" s="489">
        <f>'数据-取费表'!B2</f>
        <v>45034</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10" t="s">
        <v>479</v>
      </c>
      <c r="Q7" s="3919"/>
      <c r="R7" s="1380" t="s">
        <v>5</v>
      </c>
      <c r="S7" s="1381">
        <f t="shared" ref="S7:S14" si="0">F7</f>
        <v>0</v>
      </c>
      <c r="T7" s="1380" t="s">
        <v>5</v>
      </c>
      <c r="U7" s="1381">
        <f t="shared" ref="U7:U14" si="1">H7</f>
        <v>0</v>
      </c>
      <c r="V7" s="1380" t="s">
        <v>5</v>
      </c>
      <c r="W7" s="1381">
        <f t="shared" ref="W7:W14"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34" si="3">D8/F8</f>
        <v>#DIV/0!</v>
      </c>
      <c r="AB8" s="1383" t="e">
        <f t="shared" ref="AB8:AB34" si="4">D8/H8</f>
        <v>#DIV/0!</v>
      </c>
      <c r="AC8" s="1383" t="e">
        <f t="shared" ref="AC8:AC34" si="5">D8/J8</f>
        <v>#DIV/0!</v>
      </c>
    </row>
    <row r="9" spans="1:29" s="1117" customFormat="1" ht="15">
      <c r="A9" s="2393"/>
      <c r="B9" s="2400" t="s">
        <v>2035</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18" t="s">
        <v>484</v>
      </c>
      <c r="Q9" s="1049" t="str">
        <f t="shared" ref="Q9:Q14" si="6">B9</f>
        <v>用途</v>
      </c>
      <c r="R9" s="1380" t="s">
        <v>5</v>
      </c>
      <c r="S9" s="1381">
        <f t="shared" si="0"/>
        <v>100</v>
      </c>
      <c r="T9" s="1380" t="s">
        <v>5</v>
      </c>
      <c r="U9" s="1381">
        <f t="shared" si="1"/>
        <v>100</v>
      </c>
      <c r="V9" s="1380" t="s">
        <v>5</v>
      </c>
      <c r="W9" s="1381">
        <f t="shared" si="2"/>
        <v>100</v>
      </c>
      <c r="X9" s="1382"/>
      <c r="Y9" s="3870" t="s">
        <v>485</v>
      </c>
      <c r="Z9" s="1048" t="str">
        <f t="shared" ref="Z9:Z14" si="7">Q9</f>
        <v>用途</v>
      </c>
      <c r="AA9" s="1383">
        <f t="shared" si="3"/>
        <v>1</v>
      </c>
      <c r="AB9" s="1383">
        <f t="shared" si="4"/>
        <v>1</v>
      </c>
      <c r="AC9" s="1383">
        <f t="shared" si="5"/>
        <v>1</v>
      </c>
    </row>
    <row r="10" spans="1:29" s="1198" customFormat="1" ht="27">
      <c r="A10" s="2394"/>
      <c r="B10" s="2399" t="s">
        <v>2036</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918"/>
      <c r="Q11" s="1049">
        <f t="shared" si="6"/>
        <v>111</v>
      </c>
      <c r="R11" s="1380" t="s">
        <v>5</v>
      </c>
      <c r="S11" s="1381">
        <f t="shared" si="0"/>
        <v>100</v>
      </c>
      <c r="T11" s="1380" t="s">
        <v>5</v>
      </c>
      <c r="U11" s="1381">
        <f t="shared" si="1"/>
        <v>100</v>
      </c>
      <c r="V11" s="1380" t="s">
        <v>5</v>
      </c>
      <c r="W11" s="1381">
        <f t="shared" si="2"/>
        <v>100</v>
      </c>
      <c r="X11" s="1382"/>
      <c r="Y11" s="3870"/>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
      <c r="A14" s="2389" t="s">
        <v>2033</v>
      </c>
      <c r="B14" s="159" t="s">
        <v>492</v>
      </c>
      <c r="C14" s="883"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920" t="s">
        <v>489</v>
      </c>
      <c r="Q14" s="1384" t="str">
        <f t="shared" si="6"/>
        <v>交通便捷度</v>
      </c>
      <c r="R14" s="1385" t="s">
        <v>5</v>
      </c>
      <c r="S14" s="1386">
        <f t="shared" si="0"/>
        <v>100</v>
      </c>
      <c r="T14" s="1385" t="s">
        <v>5</v>
      </c>
      <c r="U14" s="1386">
        <f t="shared" si="1"/>
        <v>100</v>
      </c>
      <c r="V14" s="1385" t="s">
        <v>5</v>
      </c>
      <c r="W14" s="1386">
        <f t="shared" si="2"/>
        <v>100</v>
      </c>
      <c r="X14" s="1379"/>
      <c r="Y14" s="3920"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921"/>
      <c r="Q15" s="1384"/>
      <c r="R15" s="1385"/>
      <c r="S15" s="1386"/>
      <c r="T15" s="1385"/>
      <c r="U15" s="1386"/>
      <c r="V15" s="1385"/>
      <c r="W15" s="1386"/>
      <c r="X15" s="1379"/>
      <c r="Y15" s="3921"/>
      <c r="Z15" s="1387"/>
      <c r="AA15" s="1388">
        <v>1</v>
      </c>
      <c r="AB15" s="1388">
        <v>1</v>
      </c>
      <c r="AC15" s="1388">
        <v>1</v>
      </c>
    </row>
    <row r="16" spans="1:29" ht="15">
      <c r="A16" s="502"/>
      <c r="B16" s="2210" t="s">
        <v>1826</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921"/>
      <c r="Q16" s="1384" t="str">
        <f>B16</f>
        <v>公共配套设施</v>
      </c>
      <c r="R16" s="1385" t="s">
        <v>5</v>
      </c>
      <c r="S16" s="1386">
        <f>F16</f>
        <v>100</v>
      </c>
      <c r="T16" s="1385" t="s">
        <v>5</v>
      </c>
      <c r="U16" s="1386">
        <f>H16</f>
        <v>100</v>
      </c>
      <c r="V16" s="1385" t="s">
        <v>5</v>
      </c>
      <c r="W16" s="1386">
        <f>J16</f>
        <v>100</v>
      </c>
      <c r="X16" s="1379"/>
      <c r="Y16" s="3921"/>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921"/>
      <c r="Q17" s="1384"/>
      <c r="R17" s="1385"/>
      <c r="S17" s="1386"/>
      <c r="T17" s="1385"/>
      <c r="U17" s="1386"/>
      <c r="V17" s="1385"/>
      <c r="W17" s="1386"/>
      <c r="X17" s="1379"/>
      <c r="Y17" s="3921"/>
      <c r="Z17" s="1387"/>
      <c r="AA17" s="1388">
        <v>1</v>
      </c>
      <c r="AB17" s="1388">
        <v>1</v>
      </c>
      <c r="AC17" s="1388">
        <v>1</v>
      </c>
    </row>
    <row r="18" spans="1:29" ht="15">
      <c r="A18" s="502"/>
      <c r="B18" s="2198" t="s">
        <v>1838</v>
      </c>
      <c r="C18" s="835" t="str">
        <f>IF(B1="工业",估价对象房地状况!G6,估价对象房地状况!C8)</f>
        <v>六通</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921"/>
      <c r="Q18" s="2192" t="str">
        <f>B18</f>
        <v>基础设施水平</v>
      </c>
      <c r="R18" s="1385" t="s">
        <v>5</v>
      </c>
      <c r="S18" s="1386">
        <f>F18</f>
        <v>100</v>
      </c>
      <c r="T18" s="1385" t="s">
        <v>5</v>
      </c>
      <c r="U18" s="1386">
        <f>H18</f>
        <v>100</v>
      </c>
      <c r="V18" s="1385" t="s">
        <v>5</v>
      </c>
      <c r="W18" s="1386">
        <f>J18</f>
        <v>100</v>
      </c>
      <c r="X18" s="2194"/>
      <c r="Y18" s="3921"/>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21"/>
      <c r="Q19" s="2192"/>
      <c r="R19" s="1385"/>
      <c r="S19" s="1386"/>
      <c r="T19" s="1385"/>
      <c r="U19" s="1386"/>
      <c r="V19" s="1385"/>
      <c r="W19" s="1386"/>
      <c r="X19" s="2194"/>
      <c r="Y19" s="3921"/>
      <c r="Z19" s="2193"/>
      <c r="AA19" s="1388">
        <v>1</v>
      </c>
      <c r="AB19" s="1388">
        <v>1</v>
      </c>
      <c r="AC19" s="1388">
        <v>1</v>
      </c>
    </row>
    <row r="20" spans="1:29" ht="15">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921"/>
      <c r="Q20" s="1384" t="str">
        <f>B20</f>
        <v>自然及人文环境</v>
      </c>
      <c r="R20" s="1385" t="s">
        <v>5</v>
      </c>
      <c r="S20" s="1386">
        <f>F20</f>
        <v>100</v>
      </c>
      <c r="T20" s="1385" t="s">
        <v>5</v>
      </c>
      <c r="U20" s="1386">
        <f>H20</f>
        <v>100</v>
      </c>
      <c r="V20" s="1385" t="s">
        <v>5</v>
      </c>
      <c r="W20" s="1386">
        <f>J20</f>
        <v>100</v>
      </c>
      <c r="X20" s="1379"/>
      <c r="Y20" s="3921"/>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921"/>
      <c r="Q21" s="1384"/>
      <c r="R21" s="1385"/>
      <c r="S21" s="1386"/>
      <c r="T21" s="1385"/>
      <c r="U21" s="1386"/>
      <c r="V21" s="1385"/>
      <c r="W21" s="1386"/>
      <c r="X21" s="1379"/>
      <c r="Y21" s="3921"/>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21"/>
      <c r="Q22" s="1384" t="str">
        <f>B22</f>
        <v>楼层</v>
      </c>
      <c r="R22" s="1385" t="s">
        <v>5</v>
      </c>
      <c r="S22" s="1386">
        <f>F22</f>
        <v>100</v>
      </c>
      <c r="T22" s="1385" t="s">
        <v>5</v>
      </c>
      <c r="U22" s="1386">
        <f>H22</f>
        <v>100</v>
      </c>
      <c r="V22" s="1385" t="s">
        <v>5</v>
      </c>
      <c r="W22" s="1386">
        <f>J22</f>
        <v>100</v>
      </c>
      <c r="X22" s="1379"/>
      <c r="Y22" s="3921"/>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21"/>
      <c r="Q23" s="1384">
        <f>B23</f>
        <v>111</v>
      </c>
      <c r="R23" s="1385" t="s">
        <v>5</v>
      </c>
      <c r="S23" s="1386">
        <f>F23</f>
        <v>100</v>
      </c>
      <c r="T23" s="1385" t="s">
        <v>5</v>
      </c>
      <c r="U23" s="1386">
        <f>H23</f>
        <v>100</v>
      </c>
      <c r="V23" s="1385" t="s">
        <v>5</v>
      </c>
      <c r="W23" s="1386">
        <f>J23</f>
        <v>100</v>
      </c>
      <c r="X23" s="1379"/>
      <c r="Y23" s="3921"/>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21"/>
      <c r="Q24" s="1384">
        <f t="shared" ref="Q24:Q34" si="8">B24</f>
        <v>111</v>
      </c>
      <c r="R24" s="1385" t="s">
        <v>5</v>
      </c>
      <c r="S24" s="1386">
        <f>F24</f>
        <v>100</v>
      </c>
      <c r="T24" s="1385" t="s">
        <v>5</v>
      </c>
      <c r="U24" s="1386">
        <f>H24</f>
        <v>100</v>
      </c>
      <c r="V24" s="1385" t="s">
        <v>5</v>
      </c>
      <c r="W24" s="1386">
        <f>J24</f>
        <v>100</v>
      </c>
      <c r="X24" s="1379"/>
      <c r="Y24" s="3921"/>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921"/>
      <c r="Q25" s="1049">
        <f t="shared" si="8"/>
        <v>111</v>
      </c>
      <c r="R25" s="1380" t="s">
        <v>5</v>
      </c>
      <c r="S25" s="1381">
        <f>F25</f>
        <v>100</v>
      </c>
      <c r="T25" s="1380" t="s">
        <v>5</v>
      </c>
      <c r="U25" s="1381">
        <f>H25</f>
        <v>100</v>
      </c>
      <c r="V25" s="1380" t="s">
        <v>5</v>
      </c>
      <c r="W25" s="1381">
        <f>J25</f>
        <v>100</v>
      </c>
      <c r="X25" s="1382"/>
      <c r="Y25" s="3921"/>
      <c r="Z25" s="1048">
        <f>Q25</f>
        <v>111</v>
      </c>
      <c r="AA25" s="1388">
        <f>D25/F25</f>
        <v>1</v>
      </c>
      <c r="AB25" s="1388">
        <f>D25/H25</f>
        <v>1</v>
      </c>
      <c r="AC25" s="1388">
        <f>D25/J25</f>
        <v>1</v>
      </c>
    </row>
    <row r="26" spans="1:29" ht="15">
      <c r="A26" s="2386" t="s">
        <v>2034</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922"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23"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923"/>
      <c r="Q27" s="1413" t="str">
        <f t="shared" si="8"/>
        <v>成新率</v>
      </c>
      <c r="R27" s="1389" t="s">
        <v>5</v>
      </c>
      <c r="S27" s="1390" t="e">
        <f t="shared" si="9"/>
        <v>#N/A</v>
      </c>
      <c r="T27" s="1389" t="s">
        <v>5</v>
      </c>
      <c r="U27" s="1390" t="e">
        <f t="shared" si="10"/>
        <v>#N/A</v>
      </c>
      <c r="V27" s="1389" t="s">
        <v>5</v>
      </c>
      <c r="W27" s="1390" t="e">
        <f t="shared" si="11"/>
        <v>#N/A</v>
      </c>
      <c r="X27" s="1391"/>
      <c r="Y27" s="3923"/>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23"/>
      <c r="Q28" s="1384" t="str">
        <f t="shared" si="8"/>
        <v>物业等级</v>
      </c>
      <c r="R28" s="1385" t="s">
        <v>5</v>
      </c>
      <c r="S28" s="1386">
        <f t="shared" si="9"/>
        <v>100</v>
      </c>
      <c r="T28" s="1385" t="s">
        <v>5</v>
      </c>
      <c r="U28" s="1386">
        <f t="shared" si="10"/>
        <v>100</v>
      </c>
      <c r="V28" s="1385" t="s">
        <v>5</v>
      </c>
      <c r="W28" s="1386">
        <f t="shared" si="11"/>
        <v>100</v>
      </c>
      <c r="X28" s="1379"/>
      <c r="Y28" s="3923"/>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923"/>
      <c r="Q29" s="1384" t="str">
        <f t="shared" si="8"/>
        <v>有无电梯</v>
      </c>
      <c r="R29" s="1385" t="s">
        <v>5</v>
      </c>
      <c r="S29" s="1386">
        <f t="shared" si="9"/>
        <v>100</v>
      </c>
      <c r="T29" s="1385" t="s">
        <v>5</v>
      </c>
      <c r="U29" s="1386">
        <f t="shared" si="10"/>
        <v>100</v>
      </c>
      <c r="V29" s="1385" t="s">
        <v>5</v>
      </c>
      <c r="W29" s="1386">
        <f t="shared" si="11"/>
        <v>100</v>
      </c>
      <c r="X29" s="1379"/>
      <c r="Y29" s="3923"/>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923"/>
      <c r="Q30" s="1384" t="str">
        <f t="shared" si="8"/>
        <v>建筑面积</v>
      </c>
      <c r="R30" s="1385" t="s">
        <v>5</v>
      </c>
      <c r="S30" s="1386" t="e">
        <f t="shared" si="9"/>
        <v>#N/A</v>
      </c>
      <c r="T30" s="1385" t="s">
        <v>5</v>
      </c>
      <c r="U30" s="1386" t="e">
        <f t="shared" si="10"/>
        <v>#N/A</v>
      </c>
      <c r="V30" s="1385" t="s">
        <v>5</v>
      </c>
      <c r="W30" s="1386" t="e">
        <f t="shared" si="11"/>
        <v>#N/A</v>
      </c>
      <c r="X30" s="1379"/>
      <c r="Y30" s="3923"/>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923"/>
      <c r="Q31" s="1049" t="str">
        <f t="shared" si="8"/>
        <v>是否封闭</v>
      </c>
      <c r="R31" s="1380" t="s">
        <v>5</v>
      </c>
      <c r="S31" s="1381">
        <f t="shared" si="9"/>
        <v>100</v>
      </c>
      <c r="T31" s="1380" t="s">
        <v>5</v>
      </c>
      <c r="U31" s="1381">
        <f t="shared" si="10"/>
        <v>100</v>
      </c>
      <c r="V31" s="1380" t="s">
        <v>5</v>
      </c>
      <c r="W31" s="1381">
        <f t="shared" si="11"/>
        <v>100</v>
      </c>
      <c r="X31" s="1382"/>
      <c r="Y31" s="3923"/>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923" t="s">
        <v>499</v>
      </c>
      <c r="Q32" s="1384">
        <f t="shared" si="8"/>
        <v>111</v>
      </c>
      <c r="R32" s="1385" t="s">
        <v>5</v>
      </c>
      <c r="S32" s="1386">
        <f t="shared" si="9"/>
        <v>100</v>
      </c>
      <c r="T32" s="1385" t="s">
        <v>5</v>
      </c>
      <c r="U32" s="1386">
        <f t="shared" si="10"/>
        <v>100</v>
      </c>
      <c r="V32" s="1385" t="s">
        <v>5</v>
      </c>
      <c r="W32" s="1386">
        <f t="shared" si="11"/>
        <v>100</v>
      </c>
      <c r="X32" s="1379"/>
      <c r="Y32" s="3923"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923"/>
      <c r="Q33" s="1384">
        <f t="shared" si="8"/>
        <v>111</v>
      </c>
      <c r="R33" s="1385" t="s">
        <v>5</v>
      </c>
      <c r="S33" s="1386">
        <f t="shared" si="9"/>
        <v>100</v>
      </c>
      <c r="T33" s="1385" t="s">
        <v>5</v>
      </c>
      <c r="U33" s="1386">
        <f t="shared" si="10"/>
        <v>100</v>
      </c>
      <c r="V33" s="1385" t="s">
        <v>5</v>
      </c>
      <c r="W33" s="1386">
        <f t="shared" si="11"/>
        <v>100</v>
      </c>
      <c r="X33" s="1379"/>
      <c r="Y33" s="3923"/>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923"/>
      <c r="Q34" s="1384">
        <f t="shared" si="8"/>
        <v>111</v>
      </c>
      <c r="R34" s="1385" t="s">
        <v>5</v>
      </c>
      <c r="S34" s="1386">
        <f t="shared" si="9"/>
        <v>100</v>
      </c>
      <c r="T34" s="1385" t="s">
        <v>5</v>
      </c>
      <c r="U34" s="1386">
        <f t="shared" si="10"/>
        <v>100</v>
      </c>
      <c r="V34" s="1385" t="s">
        <v>5</v>
      </c>
      <c r="W34" s="1386">
        <f t="shared" si="11"/>
        <v>100</v>
      </c>
      <c r="X34" s="1379"/>
      <c r="Y34" s="3923"/>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918" t="str">
        <f>A35</f>
        <v>成交单价（元/平方米）</v>
      </c>
      <c r="Q35" s="3918"/>
      <c r="R35" s="4034">
        <f>E35</f>
        <v>0</v>
      </c>
      <c r="S35" s="4034"/>
      <c r="T35" s="4034">
        <f>G35</f>
        <v>0</v>
      </c>
      <c r="U35" s="4034"/>
      <c r="V35" s="4034">
        <f>I35</f>
        <v>0</v>
      </c>
      <c r="W35" s="4034"/>
      <c r="X35" s="1374"/>
      <c r="Y35" s="1393"/>
      <c r="Z35" s="1374"/>
      <c r="AA35" s="1374"/>
      <c r="AB35" s="1374"/>
      <c r="AC35" s="1374"/>
    </row>
    <row r="36" spans="1:29" ht="15.75" thickBot="1">
      <c r="A36" s="585" t="s">
        <v>2039</v>
      </c>
      <c r="B36" s="850"/>
      <c r="C36" s="2239" t="e">
        <f>R37</f>
        <v>#DIV/0!</v>
      </c>
      <c r="D36" s="2756" t="s">
        <v>2254</v>
      </c>
      <c r="E36" s="2240" t="e">
        <f>R36</f>
        <v>#DIV/0!</v>
      </c>
      <c r="F36" s="2757"/>
      <c r="G36" s="2239" t="e">
        <f>T36</f>
        <v>#DIV/0!</v>
      </c>
      <c r="H36" s="2757"/>
      <c r="I36" s="2240" t="e">
        <f>V36</f>
        <v>#DIV/0!</v>
      </c>
      <c r="J36" s="2757"/>
      <c r="K36" s="2765">
        <f>F36+H36+J36</f>
        <v>0</v>
      </c>
      <c r="L36" s="1866"/>
      <c r="M36" s="1867"/>
      <c r="N36" s="1856"/>
      <c r="O36" s="1867"/>
      <c r="P36" s="3918" t="str">
        <f>A36</f>
        <v>比较价格（元/平方米）</v>
      </c>
      <c r="Q36" s="3918"/>
      <c r="R36" s="4034" t="e">
        <f>IF(F1="售价",ROUND(PRODUCT(R35,AA7:AA34),0),ROUND(PRODUCT(R35,AA7:AA34),1))</f>
        <v>#DIV/0!</v>
      </c>
      <c r="S36" s="4034"/>
      <c r="T36" s="4034" t="e">
        <f>IF(F1="售价",ROUND(PRODUCT(T35,AB7:AB34),0),ROUND(PRODUCT(T35,AB7:AB34),1))</f>
        <v>#DIV/0!</v>
      </c>
      <c r="U36" s="4034"/>
      <c r="V36" s="4034" t="e">
        <f>IF(F1="售价",ROUND(PRODUCT(V35,AC7:AC34),0),ROUND(PRODUCT(V35,AC7:AC34),1))</f>
        <v>#DIV/0!</v>
      </c>
      <c r="W36" s="4034"/>
      <c r="X36" s="1374"/>
      <c r="Y36" s="1374"/>
      <c r="Z36" s="1374"/>
      <c r="AA36" s="1374"/>
      <c r="AB36" s="1374"/>
      <c r="AC36" s="1374"/>
    </row>
    <row r="37" spans="1:29" ht="15.75" thickBot="1">
      <c r="A37" s="589" t="s">
        <v>2190</v>
      </c>
      <c r="B37" s="590"/>
      <c r="C37" s="2241" t="e">
        <f>R37</f>
        <v>#DIV/0!</v>
      </c>
      <c r="D37" s="2241"/>
      <c r="E37" s="2241"/>
      <c r="F37" s="2241"/>
      <c r="G37" s="2241"/>
      <c r="H37" s="2241"/>
      <c r="I37" s="2241"/>
      <c r="J37" s="2241"/>
      <c r="K37" s="1419"/>
      <c r="L37" s="1866"/>
      <c r="M37" s="1867"/>
      <c r="N37" s="1867"/>
      <c r="O37" s="1867"/>
      <c r="P37" s="3924" t="str">
        <f>A37</f>
        <v>估价对象XX用房的比较价格（楼面单价，元/平方米）</v>
      </c>
      <c r="Q37" s="3925"/>
      <c r="R37" s="4033" t="e">
        <f>IF(F1="售价",ROUND(IF(D36="简单平均",AVERAGE(R36:W36),R36*F36+T36*H36+V36*J36),0),ROUND(IF(D36="简单平均",AVERAGE(R36:V36),R36*F36+T36*H36+V36*J36),1))</f>
        <v>#DIV/0!</v>
      </c>
      <c r="S37" s="4033"/>
      <c r="T37" s="4033"/>
      <c r="U37" s="4033"/>
      <c r="V37" s="4033"/>
      <c r="W37" s="4033"/>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2023-4</v>
      </c>
      <c r="D46" s="2283">
        <f>EDATE(C46,-1)</f>
        <v>44986</v>
      </c>
      <c r="E46" s="2283">
        <f t="shared" ref="E46:O46" si="13">EDATE(D46,-1)</f>
        <v>44958</v>
      </c>
      <c r="F46" s="2283">
        <f t="shared" si="13"/>
        <v>44927</v>
      </c>
      <c r="G46" s="2283">
        <f t="shared" si="13"/>
        <v>44896</v>
      </c>
      <c r="H46" s="2283">
        <f t="shared" si="13"/>
        <v>44866</v>
      </c>
      <c r="I46" s="2283">
        <f t="shared" si="13"/>
        <v>44835</v>
      </c>
      <c r="J46" s="2283">
        <f t="shared" si="13"/>
        <v>44805</v>
      </c>
      <c r="K46" s="2283">
        <f t="shared" si="13"/>
        <v>44774</v>
      </c>
      <c r="L46" s="2283">
        <f t="shared" si="13"/>
        <v>44743</v>
      </c>
      <c r="M46" s="2283">
        <f t="shared" si="13"/>
        <v>44713</v>
      </c>
      <c r="N46" s="2283">
        <f t="shared" si="13"/>
        <v>44682</v>
      </c>
      <c r="O46" s="2283">
        <f t="shared" si="13"/>
        <v>44652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1837</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1838</v>
      </c>
      <c r="C65" s="2205" t="s">
        <v>1839</v>
      </c>
      <c r="D65" s="2205" t="s">
        <v>1840</v>
      </c>
      <c r="E65" s="2205" t="s">
        <v>1841</v>
      </c>
      <c r="F65" s="2205" t="s">
        <v>1842</v>
      </c>
      <c r="G65" s="2205" t="s">
        <v>1843</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1659</v>
      </c>
      <c r="C1" s="4043" t="s">
        <v>1660</v>
      </c>
      <c r="D1" s="4044"/>
      <c r="E1" s="4044"/>
      <c r="F1" s="4044"/>
      <c r="G1" s="4044"/>
      <c r="H1" s="4044"/>
      <c r="I1" s="4044"/>
      <c r="J1" s="4044"/>
      <c r="K1" s="4044"/>
      <c r="L1" s="4044"/>
      <c r="M1" s="4044"/>
      <c r="N1" s="4044"/>
      <c r="O1" s="4044"/>
      <c r="P1" s="4044"/>
      <c r="Q1" s="4044"/>
      <c r="R1" s="4044"/>
      <c r="S1" s="4045"/>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2183</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2182</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2181</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2194</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2180</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2179</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40" t="s">
        <v>14</v>
      </c>
      <c r="D22" s="4041"/>
      <c r="E22" s="4041"/>
      <c r="F22" s="4041"/>
      <c r="G22" s="4041"/>
      <c r="H22" s="4041"/>
      <c r="I22" s="4041"/>
      <c r="J22" s="4041"/>
      <c r="K22" s="4041"/>
      <c r="L22" s="4041"/>
      <c r="M22" s="4041"/>
      <c r="N22" s="4041"/>
      <c r="O22" s="4041"/>
      <c r="P22" s="4041"/>
      <c r="Q22" s="4042"/>
      <c r="R22" s="467" t="e">
        <f>ROUND(S22*10000/B22,0)</f>
        <v>#DIV/0!</v>
      </c>
      <c r="S22" s="51">
        <f>SUM(S24:S10000)</f>
        <v>0</v>
      </c>
    </row>
    <row r="23" spans="1:45" s="1420" customFormat="1" ht="24">
      <c r="A23" s="15" t="s">
        <v>770</v>
      </c>
      <c r="B23" s="2613" t="s">
        <v>2202</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5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2062</v>
      </c>
      <c r="C1" s="2481">
        <f>项目基本情况!D3</f>
        <v>45034</v>
      </c>
      <c r="H1" s="2416">
        <f>IF(C1&gt;C13,0,MATCH(C1,C$13:C$109,-1))+IF(SUMIF(C13:C109,C1,D13:D109)=0,13,12)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2093</v>
      </c>
      <c r="C2" s="2482">
        <f>'数据-取费表'!B22</f>
        <v>3</v>
      </c>
      <c r="D2" s="2477" t="s">
        <v>2063</v>
      </c>
      <c r="E2" s="2480">
        <f ca="1">INDIRECT("I"&amp;$I$1)/100</f>
        <v>3.6499999999999998E-2</v>
      </c>
      <c r="G2" s="2418"/>
      <c r="H2" s="2418"/>
      <c r="I2" s="2418" t="s">
        <v>2064</v>
      </c>
      <c r="K2" s="2418"/>
      <c r="L2" s="2418"/>
      <c r="M2" s="2418"/>
      <c r="N2" s="2418" t="s">
        <v>2065</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2095</v>
      </c>
      <c r="C3" s="2479">
        <f>'数据-取费表'!B19</f>
        <v>0</v>
      </c>
      <c r="D3" s="2477" t="s">
        <v>2063</v>
      </c>
      <c r="E3" s="2480">
        <f ca="1">INDIRECT("J"&amp;$J$1)/100</f>
        <v>0</v>
      </c>
      <c r="G3" s="2420" t="s">
        <v>2066</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2094</v>
      </c>
      <c r="C4" s="2480">
        <f ca="1">N4/100</f>
        <v>1.4999999999999999E-2</v>
      </c>
      <c r="G4" s="2426" t="s">
        <v>2067</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2068</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2069</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2070</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2071</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2072</v>
      </c>
      <c r="C10" s="2445"/>
      <c r="D10" s="2445"/>
      <c r="E10" s="2445"/>
      <c r="F10" s="2445"/>
      <c r="G10" s="2445"/>
      <c r="H10" s="2445"/>
      <c r="I10" s="2419"/>
      <c r="J10" s="2419"/>
      <c r="K10" s="2445"/>
      <c r="L10" s="2446" t="s">
        <v>2073</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2074</v>
      </c>
      <c r="C11" s="2450" t="s">
        <v>2075</v>
      </c>
      <c r="D11" s="2451" t="s">
        <v>2076</v>
      </c>
      <c r="E11" s="2452"/>
      <c r="F11" s="2451" t="s">
        <v>2077</v>
      </c>
      <c r="G11" s="2453"/>
      <c r="H11" s="2452"/>
      <c r="I11" s="2451" t="s">
        <v>2078</v>
      </c>
      <c r="J11" s="2452"/>
      <c r="K11" s="2448"/>
      <c r="L11" s="2449" t="s">
        <v>2074</v>
      </c>
      <c r="M11" s="2450" t="s">
        <v>2075</v>
      </c>
      <c r="N11" s="2449" t="s">
        <v>2079</v>
      </c>
      <c r="O11" s="2451" t="s">
        <v>2080</v>
      </c>
      <c r="P11" s="2453"/>
      <c r="Q11" s="2453"/>
      <c r="R11" s="2453"/>
      <c r="S11" s="2453"/>
      <c r="T11" s="2452"/>
      <c r="U11" s="2451" t="s">
        <v>2081</v>
      </c>
      <c r="V11" s="2453"/>
      <c r="W11" s="2452"/>
      <c r="X11" s="2449" t="s">
        <v>2082</v>
      </c>
      <c r="Y11" s="2449" t="s">
        <v>2083</v>
      </c>
      <c r="Z11" s="2449" t="s">
        <v>2084</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2085</v>
      </c>
      <c r="E12" s="2458" t="s">
        <v>2086</v>
      </c>
      <c r="F12" s="2458" t="s">
        <v>2087</v>
      </c>
      <c r="G12" s="2458" t="s">
        <v>2088</v>
      </c>
      <c r="H12" s="2458" t="s">
        <v>2070</v>
      </c>
      <c r="I12" s="2459" t="s">
        <v>2089</v>
      </c>
      <c r="J12" s="2459" t="s">
        <v>2089</v>
      </c>
      <c r="K12" s="2455"/>
      <c r="L12" s="2456"/>
      <c r="M12" s="2457"/>
      <c r="N12" s="2456"/>
      <c r="O12" s="2459" t="s">
        <v>2090</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2091</v>
      </c>
      <c r="C13" s="2463">
        <v>44795</v>
      </c>
      <c r="D13" s="2464">
        <v>3.65</v>
      </c>
      <c r="E13" s="2464">
        <f>D13</f>
        <v>3.65</v>
      </c>
      <c r="F13" s="2464">
        <f>D13</f>
        <v>3.65</v>
      </c>
      <c r="G13" s="2464">
        <f>D13</f>
        <v>3.65</v>
      </c>
      <c r="H13" s="2464">
        <v>4.3</v>
      </c>
      <c r="I13" s="2464"/>
      <c r="J13" s="2464"/>
      <c r="K13" s="2461"/>
      <c r="L13" s="2462" t="s">
        <v>2091</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2282</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2092</v>
      </c>
      <c r="Y42" s="2468" t="s">
        <v>2092</v>
      </c>
      <c r="Z42" s="2468" t="s">
        <v>2092</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2092</v>
      </c>
      <c r="Y43" s="2468" t="s">
        <v>2092</v>
      </c>
      <c r="Z43" s="2468" t="s">
        <v>2092</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2092</v>
      </c>
      <c r="Y44" s="2468" t="s">
        <v>2092</v>
      </c>
      <c r="Z44" s="2468" t="s">
        <v>2092</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2092</v>
      </c>
      <c r="Y45" s="2468" t="s">
        <v>2092</v>
      </c>
      <c r="Z45" s="2468" t="s">
        <v>2092</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2092</v>
      </c>
      <c r="Y46" s="2468" t="s">
        <v>2092</v>
      </c>
      <c r="Z46" s="2468" t="s">
        <v>2092</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2092</v>
      </c>
      <c r="Y47" s="2468" t="s">
        <v>2092</v>
      </c>
      <c r="Z47" s="2468" t="s">
        <v>2092</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2092</v>
      </c>
      <c r="Y48" s="2468" t="s">
        <v>2092</v>
      </c>
      <c r="Z48" s="2468" t="s">
        <v>2092</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2092</v>
      </c>
      <c r="Y49" s="2468" t="s">
        <v>2092</v>
      </c>
      <c r="Z49" s="2468" t="s">
        <v>2092</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2092</v>
      </c>
      <c r="Y50" s="2468" t="s">
        <v>2092</v>
      </c>
      <c r="Z50" s="2468" t="s">
        <v>2092</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2092</v>
      </c>
      <c r="V51" s="2468" t="s">
        <v>2092</v>
      </c>
      <c r="W51" s="2468" t="s">
        <v>2092</v>
      </c>
      <c r="X51" s="2468" t="s">
        <v>2092</v>
      </c>
      <c r="Y51" s="2468" t="s">
        <v>2092</v>
      </c>
      <c r="Z51" s="2468" t="s">
        <v>2092</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2092</v>
      </c>
      <c r="J64" s="2468" t="s">
        <v>2092</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view="pageBreakPreview" zoomScale="80" zoomScaleNormal="60" zoomScaleSheetLayoutView="80" workbookViewId="0">
      <selection activeCell="L43" sqref="L43"/>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3429</v>
      </c>
      <c r="E1" s="1849"/>
      <c r="F1" s="2286" t="s">
        <v>3433</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12491</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27795</v>
      </c>
      <c r="C3" s="817" t="s">
        <v>669</v>
      </c>
      <c r="D3" s="816">
        <f>SUMIF('数据-汇总表'!$C19:$C33,D1,'数据-汇总表'!$E19:$E33)</f>
        <v>4493.869999999999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26" t="s">
        <v>471</v>
      </c>
      <c r="D4" s="3927"/>
      <c r="E4" s="3952" t="s">
        <v>472</v>
      </c>
      <c r="F4" s="3953"/>
      <c r="G4" s="3926" t="s">
        <v>473</v>
      </c>
      <c r="H4" s="3927"/>
      <c r="I4" s="3926" t="s">
        <v>474</v>
      </c>
      <c r="J4" s="3927"/>
      <c r="K4" s="818" t="s">
        <v>475</v>
      </c>
      <c r="L4" s="1855"/>
      <c r="M4" s="1856"/>
      <c r="N4" s="1856"/>
      <c r="O4" s="1856"/>
      <c r="P4" s="3928" t="s">
        <v>476</v>
      </c>
      <c r="Q4" s="3929"/>
      <c r="R4" s="3912" t="s">
        <v>472</v>
      </c>
      <c r="S4" s="3913"/>
      <c r="T4" s="3912" t="s">
        <v>473</v>
      </c>
      <c r="U4" s="3913"/>
      <c r="V4" s="3934" t="s">
        <v>474</v>
      </c>
      <c r="W4" s="3934"/>
      <c r="X4" s="3697"/>
      <c r="Y4" s="3912" t="s">
        <v>476</v>
      </c>
      <c r="Z4" s="3913"/>
      <c r="AA4" s="3907" t="s">
        <v>472</v>
      </c>
      <c r="AB4" s="3907" t="s">
        <v>473</v>
      </c>
      <c r="AC4" s="3907" t="s">
        <v>474</v>
      </c>
    </row>
    <row r="5" spans="1:29" ht="15">
      <c r="A5" s="485"/>
      <c r="B5" s="486"/>
      <c r="C5" s="4031" t="s">
        <v>3376</v>
      </c>
      <c r="D5" s="3938"/>
      <c r="E5" s="3954" t="str">
        <f>'其他-案例'!A65</f>
        <v>融和公馆</v>
      </c>
      <c r="F5" s="3955"/>
      <c r="G5" s="4031" t="str">
        <f>'其他-案例'!A66</f>
        <v>湖光山舍</v>
      </c>
      <c r="H5" s="3938"/>
      <c r="I5" s="4031" t="str">
        <f>'其他-案例'!A67</f>
        <v>水岸椰风</v>
      </c>
      <c r="J5" s="3938"/>
      <c r="K5" s="819"/>
      <c r="L5" s="1855"/>
      <c r="M5" s="1856"/>
      <c r="N5" s="1856"/>
      <c r="O5" s="1856"/>
      <c r="P5" s="3930"/>
      <c r="Q5" s="3931"/>
      <c r="R5" s="3914"/>
      <c r="S5" s="3915"/>
      <c r="T5" s="3914"/>
      <c r="U5" s="3915"/>
      <c r="V5" s="3934"/>
      <c r="W5" s="3934"/>
      <c r="X5" s="3697"/>
      <c r="Y5" s="3914"/>
      <c r="Z5" s="3915"/>
      <c r="AA5" s="3908"/>
      <c r="AB5" s="3908"/>
      <c r="AC5" s="3908"/>
    </row>
    <row r="6" spans="1:29" ht="15.75" thickBot="1">
      <c r="A6" s="487"/>
      <c r="B6" s="488"/>
      <c r="C6" s="4032" t="s">
        <v>3377</v>
      </c>
      <c r="D6" s="3936"/>
      <c r="E6" s="4032" t="s">
        <v>3377</v>
      </c>
      <c r="F6" s="3936"/>
      <c r="G6" s="4032" t="s">
        <v>3377</v>
      </c>
      <c r="H6" s="3936"/>
      <c r="I6" s="4032" t="s">
        <v>3377</v>
      </c>
      <c r="J6" s="3936"/>
      <c r="K6" s="819" t="s">
        <v>477</v>
      </c>
      <c r="L6" s="1855"/>
      <c r="M6" s="1856"/>
      <c r="N6" s="1856"/>
      <c r="O6" s="1856"/>
      <c r="P6" s="3932"/>
      <c r="Q6" s="3933"/>
      <c r="R6" s="3914"/>
      <c r="S6" s="3915"/>
      <c r="T6" s="3916"/>
      <c r="U6" s="3917"/>
      <c r="V6" s="3934"/>
      <c r="W6" s="3934"/>
      <c r="X6" s="3697"/>
      <c r="Y6" s="3916"/>
      <c r="Z6" s="3917"/>
      <c r="AA6" s="3909"/>
      <c r="AB6" s="3909"/>
      <c r="AC6" s="3909"/>
    </row>
    <row r="7" spans="1:29" s="1117" customFormat="1" ht="15.75" thickBot="1">
      <c r="A7" s="2391"/>
      <c r="B7" s="2398" t="s">
        <v>478</v>
      </c>
      <c r="C7" s="489">
        <f>'数据-取费表'!B2</f>
        <v>45034</v>
      </c>
      <c r="D7" s="490">
        <v>100</v>
      </c>
      <c r="E7" s="491">
        <f>C7</f>
        <v>45034</v>
      </c>
      <c r="F7" s="492">
        <f>SUMIF(58:58,YEAR(E7)&amp;"-"&amp;MONTH(E7),59:59)</f>
        <v>100</v>
      </c>
      <c r="G7" s="491">
        <f>C7</f>
        <v>45034</v>
      </c>
      <c r="H7" s="490">
        <f>SUMIF(58:58,YEAR(G7)&amp;"-"&amp;MONTH(G7),59:59)</f>
        <v>100</v>
      </c>
      <c r="I7" s="491">
        <f>C7</f>
        <v>45034</v>
      </c>
      <c r="J7" s="490">
        <f>SUMIF(58:58,YEAR(I7)&amp;"-"&amp;MONTH(I7),59:59)</f>
        <v>100</v>
      </c>
      <c r="K7" s="820"/>
      <c r="L7" s="1857"/>
      <c r="M7" s="1858"/>
      <c r="N7" s="1858"/>
      <c r="O7" s="1858"/>
      <c r="P7" s="3910" t="s">
        <v>479</v>
      </c>
      <c r="Q7" s="3919"/>
      <c r="R7" s="1380" t="s">
        <v>10</v>
      </c>
      <c r="S7" s="1381">
        <f t="shared" ref="S7:S15" si="0">F7</f>
        <v>100</v>
      </c>
      <c r="T7" s="1380" t="s">
        <v>10</v>
      </c>
      <c r="U7" s="1381">
        <f t="shared" ref="U7:U15" si="1">H7</f>
        <v>100</v>
      </c>
      <c r="V7" s="1380" t="s">
        <v>10</v>
      </c>
      <c r="W7" s="1381">
        <f t="shared" ref="W7:W15" si="2">J7</f>
        <v>100</v>
      </c>
      <c r="X7" s="1382"/>
      <c r="Y7" s="3910" t="s">
        <v>479</v>
      </c>
      <c r="Z7" s="3911"/>
      <c r="AA7" s="1383">
        <f>D7/F7</f>
        <v>1</v>
      </c>
      <c r="AB7" s="1383">
        <f>D7/H7</f>
        <v>1</v>
      </c>
      <c r="AC7" s="1383">
        <f>D7/J7</f>
        <v>1</v>
      </c>
    </row>
    <row r="8" spans="1:29" s="1117" customFormat="1" ht="15.75" thickBot="1">
      <c r="A8" s="2392"/>
      <c r="B8" s="2399" t="s">
        <v>480</v>
      </c>
      <c r="C8" s="495" t="s">
        <v>524</v>
      </c>
      <c r="D8" s="490">
        <v>100</v>
      </c>
      <c r="E8" s="495" t="s">
        <v>3579</v>
      </c>
      <c r="F8" s="492">
        <f>SUMIF(61:61,E8,62:62)-SUMIF(61:61,C8,62:62)+100</f>
        <v>102</v>
      </c>
      <c r="G8" s="495" t="s">
        <v>3579</v>
      </c>
      <c r="H8" s="490">
        <f>SUMIF(61:61,G8,62:62)-SUMIF(61:61,C8,62:62)+100</f>
        <v>102</v>
      </c>
      <c r="I8" s="495" t="s">
        <v>3579</v>
      </c>
      <c r="J8" s="490">
        <f>SUMIF(61:61,I8,62:62)-SUMIF(61:61,C8,62:62)+100</f>
        <v>102</v>
      </c>
      <c r="K8" s="820"/>
      <c r="L8" s="1857"/>
      <c r="M8" s="1858"/>
      <c r="N8" s="1858"/>
      <c r="O8" s="1858"/>
      <c r="P8" s="3910" t="s">
        <v>482</v>
      </c>
      <c r="Q8" s="3911"/>
      <c r="R8" s="1380" t="s">
        <v>10</v>
      </c>
      <c r="S8" s="1381">
        <f t="shared" si="0"/>
        <v>102</v>
      </c>
      <c r="T8" s="1380" t="s">
        <v>10</v>
      </c>
      <c r="U8" s="1381">
        <f t="shared" si="1"/>
        <v>102</v>
      </c>
      <c r="V8" s="1380" t="s">
        <v>10</v>
      </c>
      <c r="W8" s="1381">
        <f t="shared" si="2"/>
        <v>102</v>
      </c>
      <c r="X8" s="1382"/>
      <c r="Y8" s="3910" t="s">
        <v>482</v>
      </c>
      <c r="Z8" s="3911"/>
      <c r="AA8" s="1383">
        <f t="shared" ref="AA8:AA46" si="3">D8/F8</f>
        <v>0.98039215686274506</v>
      </c>
      <c r="AB8" s="1383">
        <f t="shared" ref="AB8:AB46" si="4">D8/H8</f>
        <v>0.98039215686274506</v>
      </c>
      <c r="AC8" s="1383">
        <f t="shared" ref="AC8:AC46" si="5">D8/J8</f>
        <v>0.98039215686274506</v>
      </c>
    </row>
    <row r="9" spans="1:29" s="1117" customFormat="1" ht="15">
      <c r="A9" s="2393"/>
      <c r="B9" s="2400" t="s">
        <v>2035</v>
      </c>
      <c r="C9" s="3682" t="s">
        <v>3482</v>
      </c>
      <c r="D9" s="245">
        <v>100</v>
      </c>
      <c r="E9" s="823" t="s">
        <v>3429</v>
      </c>
      <c r="F9" s="824">
        <f>SUMIF(63:63,E9,64:64)-SUMIF(63:63,C9,64:64)+100</f>
        <v>100</v>
      </c>
      <c r="G9" s="823" t="s">
        <v>3429</v>
      </c>
      <c r="H9" s="245">
        <f>SUMIF(63:63,G9,64:64)-SUMIF(63:63,C9,64:64)+100</f>
        <v>100</v>
      </c>
      <c r="I9" s="823" t="s">
        <v>3429</v>
      </c>
      <c r="J9" s="245">
        <f>SUMIF(63:63,I9,64:64)-SUMIF(63:63,C9,64:64)+100</f>
        <v>100</v>
      </c>
      <c r="K9" s="820"/>
      <c r="L9" s="1857"/>
      <c r="M9" s="1858"/>
      <c r="N9" s="1858"/>
      <c r="O9" s="1859"/>
      <c r="P9" s="3918" t="s">
        <v>484</v>
      </c>
      <c r="Q9" s="3693" t="str">
        <f t="shared" ref="Q9:Q15" si="6">B9</f>
        <v>用途</v>
      </c>
      <c r="R9" s="1380" t="s">
        <v>5</v>
      </c>
      <c r="S9" s="1381">
        <f t="shared" si="0"/>
        <v>100</v>
      </c>
      <c r="T9" s="1380" t="s">
        <v>5</v>
      </c>
      <c r="U9" s="1381">
        <f t="shared" si="1"/>
        <v>100</v>
      </c>
      <c r="V9" s="1380" t="s">
        <v>5</v>
      </c>
      <c r="W9" s="1381">
        <f t="shared" si="2"/>
        <v>100</v>
      </c>
      <c r="X9" s="1382"/>
      <c r="Y9" s="3870" t="s">
        <v>485</v>
      </c>
      <c r="Z9" s="3688" t="str">
        <f t="shared" ref="Z9:Z15" si="7">Q9</f>
        <v>用途</v>
      </c>
      <c r="AA9" s="1383">
        <f t="shared" si="3"/>
        <v>1</v>
      </c>
      <c r="AB9" s="1383">
        <f t="shared" si="4"/>
        <v>1</v>
      </c>
      <c r="AC9" s="1383">
        <f t="shared" si="5"/>
        <v>1</v>
      </c>
    </row>
    <row r="10" spans="1:29" s="1198" customFormat="1" ht="27">
      <c r="A10" s="2394"/>
      <c r="B10" s="2399" t="s">
        <v>2036</v>
      </c>
      <c r="C10" s="3658"/>
      <c r="D10" s="246">
        <v>100</v>
      </c>
      <c r="E10" s="3659"/>
      <c r="F10" s="826">
        <f>SUMIF(65:65,E10,66:66)-SUMIF(65:65,C10,66:66)+100</f>
        <v>100</v>
      </c>
      <c r="G10" s="3659"/>
      <c r="H10" s="246">
        <f>SUMIF(65:65,G10,66:66)-SUMIF(65:65,C10,66:66)+100</f>
        <v>100</v>
      </c>
      <c r="I10" s="3659"/>
      <c r="J10" s="246">
        <f>SUMIF(65:65,I10,66:66)-SUMIF(65:65,C10,66:66)+100</f>
        <v>100</v>
      </c>
      <c r="K10" s="820"/>
      <c r="L10" s="1860"/>
      <c r="M10" s="1899"/>
      <c r="N10" s="1899"/>
      <c r="O10" s="1861"/>
      <c r="P10" s="3918"/>
      <c r="Q10" s="3693" t="str">
        <f t="shared" si="6"/>
        <v>土地使用年限（年）</v>
      </c>
      <c r="R10" s="1380" t="s">
        <v>5</v>
      </c>
      <c r="S10" s="1381">
        <f t="shared" si="0"/>
        <v>100</v>
      </c>
      <c r="T10" s="1380" t="s">
        <v>5</v>
      </c>
      <c r="U10" s="1381">
        <f t="shared" si="1"/>
        <v>100</v>
      </c>
      <c r="V10" s="1380" t="s">
        <v>5</v>
      </c>
      <c r="W10" s="1381">
        <f t="shared" si="2"/>
        <v>100</v>
      </c>
      <c r="X10" s="1382"/>
      <c r="Y10" s="3870"/>
      <c r="Z10" s="3688" t="str">
        <f t="shared" si="7"/>
        <v>土地使用年限（年）</v>
      </c>
      <c r="AA10" s="1383">
        <f t="shared" si="3"/>
        <v>1</v>
      </c>
      <c r="AB10" s="1383">
        <f t="shared" si="4"/>
        <v>1</v>
      </c>
      <c r="AC10" s="1383">
        <f t="shared" si="5"/>
        <v>1</v>
      </c>
    </row>
    <row r="11" spans="1:29" ht="15.75" thickBot="1">
      <c r="A11" s="2395"/>
      <c r="B11" s="2399" t="s">
        <v>2037</v>
      </c>
      <c r="C11" s="503">
        <f>'不动产比较法-住宅'!C11</f>
        <v>2.39</v>
      </c>
      <c r="D11" s="246">
        <v>100</v>
      </c>
      <c r="E11" s="504">
        <f>'其他-案例'!F65</f>
        <v>2</v>
      </c>
      <c r="F11" s="826">
        <f>LOOKUP(E11,68:68,69:69)-LOOKUP(C11,68:68,69:69)+100</f>
        <v>100</v>
      </c>
      <c r="G11" s="503">
        <f>'其他-案例'!F66</f>
        <v>2</v>
      </c>
      <c r="H11" s="246">
        <f>LOOKUP(G11,68:68,69:69)-LOOKUP(C11,68:68,69:69)+100</f>
        <v>100</v>
      </c>
      <c r="I11" s="503">
        <f>'其他-案例'!F67</f>
        <v>3</v>
      </c>
      <c r="J11" s="246">
        <f>LOOKUP(I11,68:68,69:69)-LOOKUP(C11,68:68,69:69)+100</f>
        <v>98</v>
      </c>
      <c r="K11" s="827">
        <v>2</v>
      </c>
      <c r="L11" s="1862"/>
      <c r="M11" s="1856"/>
      <c r="N11" s="1856"/>
      <c r="O11" s="1863"/>
      <c r="P11" s="3918"/>
      <c r="Q11" s="3693" t="str">
        <f t="shared" si="6"/>
        <v>容积率</v>
      </c>
      <c r="R11" s="1380" t="s">
        <v>8</v>
      </c>
      <c r="S11" s="1381">
        <f t="shared" si="0"/>
        <v>100</v>
      </c>
      <c r="T11" s="1380" t="s">
        <v>8</v>
      </c>
      <c r="U11" s="1381">
        <f t="shared" si="1"/>
        <v>100</v>
      </c>
      <c r="V11" s="1380" t="s">
        <v>8</v>
      </c>
      <c r="W11" s="1381">
        <f t="shared" si="2"/>
        <v>98</v>
      </c>
      <c r="X11" s="1382"/>
      <c r="Y11" s="3870"/>
      <c r="Z11" s="3688" t="str">
        <f t="shared" si="7"/>
        <v>容积率</v>
      </c>
      <c r="AA11" s="1383">
        <f t="shared" si="3"/>
        <v>1</v>
      </c>
      <c r="AB11" s="1383">
        <f t="shared" si="4"/>
        <v>1</v>
      </c>
      <c r="AC11" s="1383">
        <f t="shared" si="5"/>
        <v>1.0204081632653061</v>
      </c>
    </row>
    <row r="12" spans="1:29" s="1117" customFormat="1" ht="15.75" hidden="1" thickBot="1">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18"/>
      <c r="Q12" s="3693">
        <f t="shared" si="6"/>
        <v>111</v>
      </c>
      <c r="R12" s="1380" t="s">
        <v>8</v>
      </c>
      <c r="S12" s="1381">
        <f t="shared" si="0"/>
        <v>100</v>
      </c>
      <c r="T12" s="1380" t="s">
        <v>8</v>
      </c>
      <c r="U12" s="1381">
        <f t="shared" si="1"/>
        <v>100</v>
      </c>
      <c r="V12" s="1380" t="s">
        <v>8</v>
      </c>
      <c r="W12" s="1381">
        <f t="shared" si="2"/>
        <v>100</v>
      </c>
      <c r="X12" s="1382"/>
      <c r="Y12" s="3870"/>
      <c r="Z12" s="3688">
        <f t="shared" si="7"/>
        <v>111</v>
      </c>
      <c r="AA12" s="1383">
        <f>D12/F12</f>
        <v>1</v>
      </c>
      <c r="AB12" s="1383">
        <f>D12/H12</f>
        <v>1</v>
      </c>
      <c r="AC12" s="1383">
        <f>D12/J12</f>
        <v>1</v>
      </c>
    </row>
    <row r="13" spans="1:29" ht="15.75" hidden="1" thickBot="1">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18"/>
      <c r="Q13" s="3693">
        <f t="shared" si="6"/>
        <v>111</v>
      </c>
      <c r="R13" s="1380" t="s">
        <v>8</v>
      </c>
      <c r="S13" s="1381">
        <f t="shared" si="0"/>
        <v>100</v>
      </c>
      <c r="T13" s="1380" t="s">
        <v>8</v>
      </c>
      <c r="U13" s="1381">
        <f t="shared" si="1"/>
        <v>100</v>
      </c>
      <c r="V13" s="1380" t="s">
        <v>8</v>
      </c>
      <c r="W13" s="1381">
        <f t="shared" si="2"/>
        <v>100</v>
      </c>
      <c r="X13" s="1382"/>
      <c r="Y13" s="3870"/>
      <c r="Z13" s="3688">
        <f t="shared" si="7"/>
        <v>111</v>
      </c>
      <c r="AA13" s="1383">
        <f t="shared" si="3"/>
        <v>1</v>
      </c>
      <c r="AB13" s="1383">
        <f t="shared" si="4"/>
        <v>1</v>
      </c>
      <c r="AC13" s="1383">
        <f t="shared" si="5"/>
        <v>1</v>
      </c>
    </row>
    <row r="14" spans="1:29" ht="15.75" hidden="1"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18"/>
      <c r="Q14" s="3693">
        <f t="shared" si="6"/>
        <v>111</v>
      </c>
      <c r="R14" s="1380" t="s">
        <v>8</v>
      </c>
      <c r="S14" s="1381">
        <f t="shared" si="0"/>
        <v>100</v>
      </c>
      <c r="T14" s="1380" t="s">
        <v>8</v>
      </c>
      <c r="U14" s="1381">
        <f t="shared" si="1"/>
        <v>100</v>
      </c>
      <c r="V14" s="1380" t="s">
        <v>8</v>
      </c>
      <c r="W14" s="1381">
        <f t="shared" si="2"/>
        <v>100</v>
      </c>
      <c r="X14" s="1382"/>
      <c r="Y14" s="3870"/>
      <c r="Z14" s="3688">
        <f t="shared" si="7"/>
        <v>111</v>
      </c>
      <c r="AA14" s="1383">
        <f t="shared" si="3"/>
        <v>1</v>
      </c>
      <c r="AB14" s="1383">
        <f t="shared" si="4"/>
        <v>1</v>
      </c>
      <c r="AC14" s="1383">
        <f t="shared" si="5"/>
        <v>1</v>
      </c>
    </row>
    <row r="15" spans="1:29" ht="15">
      <c r="A15" s="2389" t="s">
        <v>2033</v>
      </c>
      <c r="B15" s="159" t="s">
        <v>261</v>
      </c>
      <c r="C15" s="830" t="str">
        <f>估价对象房地状况!C3</f>
        <v>一般</v>
      </c>
      <c r="D15" s="519">
        <v>100</v>
      </c>
      <c r="E15" s="3683" t="s">
        <v>3271</v>
      </c>
      <c r="F15" s="521">
        <f>SUMIF(76:76,E16,77:77)-SUMIF(76:76,C16,77:77)+100</f>
        <v>100</v>
      </c>
      <c r="G15" s="3683" t="s">
        <v>3271</v>
      </c>
      <c r="H15" s="519">
        <f>SUMIF(76:76,G16,77:77)-SUMIF(76:76,C16,77:77)+100</f>
        <v>100</v>
      </c>
      <c r="I15" s="3683" t="s">
        <v>3584</v>
      </c>
      <c r="J15" s="519">
        <f>SUMIF(76:76,I16,77:77)-SUMIF(76:76,C16,77:77)+100</f>
        <v>106</v>
      </c>
      <c r="K15" s="831">
        <v>3</v>
      </c>
      <c r="L15" s="1864"/>
      <c r="M15" s="1856"/>
      <c r="N15" s="1856"/>
      <c r="O15" s="1863"/>
      <c r="P15" s="3920" t="s">
        <v>489</v>
      </c>
      <c r="Q15" s="3695" t="str">
        <f t="shared" si="6"/>
        <v>居住社区成熟度</v>
      </c>
      <c r="R15" s="1385" t="s">
        <v>8</v>
      </c>
      <c r="S15" s="1386">
        <f t="shared" si="0"/>
        <v>100</v>
      </c>
      <c r="T15" s="1385" t="s">
        <v>8</v>
      </c>
      <c r="U15" s="1386">
        <f t="shared" si="1"/>
        <v>100</v>
      </c>
      <c r="V15" s="1385" t="s">
        <v>8</v>
      </c>
      <c r="W15" s="1386">
        <f t="shared" si="2"/>
        <v>106</v>
      </c>
      <c r="X15" s="3697"/>
      <c r="Y15" s="3920" t="s">
        <v>489</v>
      </c>
      <c r="Z15" s="3696" t="str">
        <f t="shared" si="7"/>
        <v>居住社区成熟度</v>
      </c>
      <c r="AA15" s="3698">
        <f t="shared" si="3"/>
        <v>1</v>
      </c>
      <c r="AB15" s="3698">
        <f t="shared" si="4"/>
        <v>1</v>
      </c>
      <c r="AC15" s="3698">
        <f t="shared" si="5"/>
        <v>0.94339622641509435</v>
      </c>
    </row>
    <row r="16" spans="1:29" ht="15.75" thickBot="1">
      <c r="A16" s="502"/>
      <c r="B16" s="832"/>
      <c r="C16" s="546" t="s">
        <v>3271</v>
      </c>
      <c r="D16" s="525"/>
      <c r="E16" s="526" t="s">
        <v>3271</v>
      </c>
      <c r="F16" s="527"/>
      <c r="G16" s="526" t="s">
        <v>3271</v>
      </c>
      <c r="H16" s="529"/>
      <c r="I16" s="526" t="s">
        <v>3583</v>
      </c>
      <c r="J16" s="525"/>
      <c r="K16" s="833"/>
      <c r="L16" s="1864"/>
      <c r="M16" s="1856"/>
      <c r="N16" s="1856"/>
      <c r="O16" s="1863"/>
      <c r="P16" s="3921"/>
      <c r="Q16" s="3695"/>
      <c r="R16" s="1385"/>
      <c r="S16" s="1386"/>
      <c r="T16" s="1385"/>
      <c r="U16" s="1386"/>
      <c r="V16" s="1385"/>
      <c r="W16" s="1386"/>
      <c r="X16" s="3697"/>
      <c r="Y16" s="3921"/>
      <c r="Z16" s="3696"/>
      <c r="AA16" s="3698">
        <v>1</v>
      </c>
      <c r="AB16" s="3698">
        <v>1</v>
      </c>
      <c r="AC16" s="3698">
        <v>1</v>
      </c>
    </row>
    <row r="17" spans="1:29" ht="15">
      <c r="A17" s="502"/>
      <c r="B17" s="834" t="s">
        <v>262</v>
      </c>
      <c r="C17" s="835" t="str">
        <f>估价对象房地状况!C6</f>
        <v>一般</v>
      </c>
      <c r="D17" s="529">
        <v>100</v>
      </c>
      <c r="E17" s="532" t="s">
        <v>3271</v>
      </c>
      <c r="F17" s="533">
        <f>SUMIF(78:78,E18,79:79)-SUMIF(78:78,C18,79:79)+100</f>
        <v>100</v>
      </c>
      <c r="G17" s="532" t="s">
        <v>3271</v>
      </c>
      <c r="H17" s="535">
        <f>SUMIF(78:78,G18,79:79)-SUMIF(78:78,C18,79:79)+100</f>
        <v>100</v>
      </c>
      <c r="I17" s="3683" t="s">
        <v>3394</v>
      </c>
      <c r="J17" s="535">
        <f>SUMIF(78:78,I18,79:79)-SUMIF(78:78,C18,79:79)+100</f>
        <v>102</v>
      </c>
      <c r="K17" s="831">
        <v>2</v>
      </c>
      <c r="L17" s="1864"/>
      <c r="M17" s="1856"/>
      <c r="N17" s="1856"/>
      <c r="O17" s="1863"/>
      <c r="P17" s="3921"/>
      <c r="Q17" s="3695" t="str">
        <f>B17</f>
        <v>交通便捷度</v>
      </c>
      <c r="R17" s="1385" t="s">
        <v>8</v>
      </c>
      <c r="S17" s="1386">
        <f>F17</f>
        <v>100</v>
      </c>
      <c r="T17" s="1385" t="s">
        <v>8</v>
      </c>
      <c r="U17" s="1386">
        <f>H17</f>
        <v>100</v>
      </c>
      <c r="V17" s="1385" t="s">
        <v>8</v>
      </c>
      <c r="W17" s="1386">
        <f>J17</f>
        <v>102</v>
      </c>
      <c r="X17" s="3697"/>
      <c r="Y17" s="3921"/>
      <c r="Z17" s="3696" t="str">
        <f>Q17</f>
        <v>交通便捷度</v>
      </c>
      <c r="AA17" s="3698">
        <f t="shared" si="3"/>
        <v>1</v>
      </c>
      <c r="AB17" s="3698">
        <f t="shared" si="4"/>
        <v>1</v>
      </c>
      <c r="AC17" s="3698">
        <f t="shared" si="5"/>
        <v>0.98039215686274506</v>
      </c>
    </row>
    <row r="18" spans="1:29" ht="15.75" thickBot="1">
      <c r="A18" s="502"/>
      <c r="B18" s="565"/>
      <c r="C18" s="836" t="s">
        <v>3271</v>
      </c>
      <c r="D18" s="529"/>
      <c r="E18" s="538" t="s">
        <v>3271</v>
      </c>
      <c r="F18" s="533"/>
      <c r="G18" s="538" t="s">
        <v>3271</v>
      </c>
      <c r="H18" s="525"/>
      <c r="I18" s="526" t="s">
        <v>3270</v>
      </c>
      <c r="J18" s="525"/>
      <c r="K18" s="833"/>
      <c r="L18" s="1864"/>
      <c r="M18" s="1856"/>
      <c r="N18" s="1856"/>
      <c r="O18" s="1863"/>
      <c r="P18" s="3921"/>
      <c r="Q18" s="3695"/>
      <c r="R18" s="1385"/>
      <c r="S18" s="1386"/>
      <c r="T18" s="1385"/>
      <c r="U18" s="1386"/>
      <c r="V18" s="1385"/>
      <c r="W18" s="1386"/>
      <c r="X18" s="3697"/>
      <c r="Y18" s="3921"/>
      <c r="Z18" s="3696"/>
      <c r="AA18" s="3698">
        <v>1</v>
      </c>
      <c r="AB18" s="3698">
        <v>1</v>
      </c>
      <c r="AC18" s="3698">
        <v>1</v>
      </c>
    </row>
    <row r="19" spans="1:29" ht="15">
      <c r="A19" s="502"/>
      <c r="B19" s="2207" t="s">
        <v>1826</v>
      </c>
      <c r="C19" s="835" t="str">
        <f>估价对象房地状况!C7</f>
        <v>一般</v>
      </c>
      <c r="D19" s="535">
        <v>100</v>
      </c>
      <c r="E19" s="540" t="s">
        <v>3271</v>
      </c>
      <c r="F19" s="541">
        <f>SUMIF(80:80,E20,81:81)-SUMIF(80:80,C20,81:81)+100</f>
        <v>100</v>
      </c>
      <c r="G19" s="532" t="s">
        <v>3271</v>
      </c>
      <c r="H19" s="529">
        <f>SUMIF(80:80,G20,81:81)-SUMIF(80:80,C20,81:81)+100</f>
        <v>100</v>
      </c>
      <c r="I19" s="3683" t="s">
        <v>3394</v>
      </c>
      <c r="J19" s="529">
        <f>SUMIF(80:80,I20,81:81)-SUMIF(80:80,C20,81:81)+100</f>
        <v>103</v>
      </c>
      <c r="K19" s="831">
        <v>3</v>
      </c>
      <c r="L19" s="1864"/>
      <c r="M19" s="1856"/>
      <c r="N19" s="1856"/>
      <c r="O19" s="1863"/>
      <c r="P19" s="3921"/>
      <c r="Q19" s="3695" t="str">
        <f>B19</f>
        <v>公共配套设施</v>
      </c>
      <c r="R19" s="1385" t="s">
        <v>8</v>
      </c>
      <c r="S19" s="1386">
        <f>F19</f>
        <v>100</v>
      </c>
      <c r="T19" s="1385" t="s">
        <v>8</v>
      </c>
      <c r="U19" s="1386">
        <f>H19</f>
        <v>100</v>
      </c>
      <c r="V19" s="1385" t="s">
        <v>8</v>
      </c>
      <c r="W19" s="1386">
        <f>J19</f>
        <v>103</v>
      </c>
      <c r="X19" s="3697"/>
      <c r="Y19" s="3921"/>
      <c r="Z19" s="3696" t="str">
        <f>Q19</f>
        <v>公共配套设施</v>
      </c>
      <c r="AA19" s="3698">
        <f t="shared" si="3"/>
        <v>1</v>
      </c>
      <c r="AB19" s="3698">
        <f t="shared" si="4"/>
        <v>1</v>
      </c>
      <c r="AC19" s="3698">
        <f t="shared" si="5"/>
        <v>0.970873786407767</v>
      </c>
    </row>
    <row r="20" spans="1:29" ht="15">
      <c r="A20" s="502"/>
      <c r="B20" s="565"/>
      <c r="C20" s="546" t="s">
        <v>3271</v>
      </c>
      <c r="D20" s="525"/>
      <c r="E20" s="526" t="s">
        <v>3271</v>
      </c>
      <c r="F20" s="527"/>
      <c r="G20" s="538" t="s">
        <v>3271</v>
      </c>
      <c r="H20" s="525"/>
      <c r="I20" s="526" t="s">
        <v>3270</v>
      </c>
      <c r="J20" s="525"/>
      <c r="K20" s="833"/>
      <c r="L20" s="1864"/>
      <c r="M20" s="1856"/>
      <c r="N20" s="1856"/>
      <c r="O20" s="1863"/>
      <c r="P20" s="3921"/>
      <c r="Q20" s="3695"/>
      <c r="R20" s="1385"/>
      <c r="S20" s="1386"/>
      <c r="T20" s="1385"/>
      <c r="U20" s="1386"/>
      <c r="V20" s="1385"/>
      <c r="W20" s="1386"/>
      <c r="X20" s="3697"/>
      <c r="Y20" s="3921"/>
      <c r="Z20" s="3696"/>
      <c r="AA20" s="3698">
        <v>1</v>
      </c>
      <c r="AB20" s="3698">
        <v>1</v>
      </c>
      <c r="AC20" s="3698">
        <v>1</v>
      </c>
    </row>
    <row r="21" spans="1:29" ht="15">
      <c r="A21" s="502"/>
      <c r="B21" s="2200" t="s">
        <v>1827</v>
      </c>
      <c r="C21" s="835" t="str">
        <f>估价对象房地状况!C8</f>
        <v>六通</v>
      </c>
      <c r="D21" s="535">
        <v>100</v>
      </c>
      <c r="E21" s="542" t="s">
        <v>3272</v>
      </c>
      <c r="F21" s="541">
        <f>SUMIF(82:82,E22,83:83)-SUMIF(82:82,C22,83:83)+100</f>
        <v>100</v>
      </c>
      <c r="G21" s="542" t="s">
        <v>3272</v>
      </c>
      <c r="H21" s="535">
        <f>SUMIF(82:82,G22,83:83)-SUMIF(82:82,C22,83:83)+100</f>
        <v>100</v>
      </c>
      <c r="I21" s="542" t="s">
        <v>3272</v>
      </c>
      <c r="J21" s="535">
        <f>SUMIF(82:82,I22,83:83)-SUMIF(82:82,C22,83:83)+100</f>
        <v>100</v>
      </c>
      <c r="K21" s="831">
        <v>1</v>
      </c>
      <c r="L21" s="1864"/>
      <c r="M21" s="1856"/>
      <c r="N21" s="1856"/>
      <c r="O21" s="1863"/>
      <c r="P21" s="3921"/>
      <c r="Q21" s="3695" t="str">
        <f>B21</f>
        <v>基础设施水平</v>
      </c>
      <c r="R21" s="1385" t="s">
        <v>8</v>
      </c>
      <c r="S21" s="1386">
        <f>F21</f>
        <v>100</v>
      </c>
      <c r="T21" s="1385" t="s">
        <v>8</v>
      </c>
      <c r="U21" s="1386">
        <f>H21</f>
        <v>100</v>
      </c>
      <c r="V21" s="1385" t="s">
        <v>8</v>
      </c>
      <c r="W21" s="1386">
        <f>J21</f>
        <v>100</v>
      </c>
      <c r="X21" s="3697"/>
      <c r="Y21" s="3921"/>
      <c r="Z21" s="3696" t="str">
        <f>Q21</f>
        <v>基础设施水平</v>
      </c>
      <c r="AA21" s="3698">
        <f>D21/F21</f>
        <v>1</v>
      </c>
      <c r="AB21" s="3698">
        <f>D21/H21</f>
        <v>1</v>
      </c>
      <c r="AC21" s="3698">
        <f>D21/J21</f>
        <v>1</v>
      </c>
    </row>
    <row r="22" spans="1:29" ht="15.75" thickBot="1">
      <c r="A22" s="502"/>
      <c r="B22" s="884"/>
      <c r="C22" s="836" t="s">
        <v>3272</v>
      </c>
      <c r="D22" s="525"/>
      <c r="E22" s="546" t="s">
        <v>3272</v>
      </c>
      <c r="F22" s="527"/>
      <c r="G22" s="546" t="s">
        <v>3272</v>
      </c>
      <c r="H22" s="525"/>
      <c r="I22" s="546" t="s">
        <v>3272</v>
      </c>
      <c r="J22" s="525"/>
      <c r="K22" s="2206"/>
      <c r="L22" s="1864"/>
      <c r="M22" s="1856"/>
      <c r="N22" s="1856"/>
      <c r="O22" s="1863"/>
      <c r="P22" s="3921"/>
      <c r="Q22" s="3695"/>
      <c r="R22" s="1385"/>
      <c r="S22" s="1386"/>
      <c r="T22" s="1385"/>
      <c r="U22" s="1386"/>
      <c r="V22" s="1385"/>
      <c r="W22" s="1386"/>
      <c r="X22" s="3697"/>
      <c r="Y22" s="3921"/>
      <c r="Z22" s="3696"/>
      <c r="AA22" s="3698">
        <v>1</v>
      </c>
      <c r="AB22" s="3698">
        <v>1</v>
      </c>
      <c r="AC22" s="3698">
        <v>1</v>
      </c>
    </row>
    <row r="23" spans="1:29" ht="15">
      <c r="A23" s="502"/>
      <c r="B23" s="834" t="s">
        <v>263</v>
      </c>
      <c r="C23" s="835" t="str">
        <f>估价对象房地状况!C9</f>
        <v>一般</v>
      </c>
      <c r="D23" s="529">
        <v>100</v>
      </c>
      <c r="E23" s="540" t="s">
        <v>3271</v>
      </c>
      <c r="F23" s="533">
        <f>SUMIF(84:84,E24,85:85)-SUMIF(84:84,C24,85:85)+100</f>
        <v>100</v>
      </c>
      <c r="G23" s="540" t="s">
        <v>3271</v>
      </c>
      <c r="H23" s="529">
        <f>SUMIF(84:84,G24,85:85)-SUMIF(84:84,C24,85:85)+100</f>
        <v>100</v>
      </c>
      <c r="I23" s="3683" t="s">
        <v>3394</v>
      </c>
      <c r="J23" s="529">
        <f>SUMIF(84:84,I24,85:85)-SUMIF(84:84,C24,85:85)+100</f>
        <v>102</v>
      </c>
      <c r="K23" s="831">
        <v>2</v>
      </c>
      <c r="L23" s="1864"/>
      <c r="M23" s="1856"/>
      <c r="N23" s="1856"/>
      <c r="O23" s="1863"/>
      <c r="P23" s="3921"/>
      <c r="Q23" s="3695" t="str">
        <f>B23</f>
        <v>自然及人文环境</v>
      </c>
      <c r="R23" s="1385" t="s">
        <v>8</v>
      </c>
      <c r="S23" s="1386">
        <f>F23</f>
        <v>100</v>
      </c>
      <c r="T23" s="1385" t="s">
        <v>8</v>
      </c>
      <c r="U23" s="1386">
        <f>H23</f>
        <v>100</v>
      </c>
      <c r="V23" s="1385" t="s">
        <v>8</v>
      </c>
      <c r="W23" s="1386">
        <f>J23</f>
        <v>102</v>
      </c>
      <c r="X23" s="3697"/>
      <c r="Y23" s="3921"/>
      <c r="Z23" s="3696" t="str">
        <f>Q23</f>
        <v>自然及人文环境</v>
      </c>
      <c r="AA23" s="3698">
        <f t="shared" si="3"/>
        <v>1</v>
      </c>
      <c r="AB23" s="3698">
        <f t="shared" si="4"/>
        <v>1</v>
      </c>
      <c r="AC23" s="3698">
        <f t="shared" si="5"/>
        <v>0.98039215686274506</v>
      </c>
    </row>
    <row r="24" spans="1:29" ht="15.75" thickBot="1">
      <c r="A24" s="502"/>
      <c r="B24" s="565"/>
      <c r="C24" s="546" t="s">
        <v>3271</v>
      </c>
      <c r="D24" s="525"/>
      <c r="E24" s="526" t="s">
        <v>3271</v>
      </c>
      <c r="F24" s="527"/>
      <c r="G24" s="526" t="s">
        <v>3271</v>
      </c>
      <c r="H24" s="525"/>
      <c r="I24" s="526" t="s">
        <v>3270</v>
      </c>
      <c r="J24" s="525"/>
      <c r="K24" s="833"/>
      <c r="L24" s="1864"/>
      <c r="M24" s="1856"/>
      <c r="N24" s="1856"/>
      <c r="O24" s="1863"/>
      <c r="P24" s="3921"/>
      <c r="Q24" s="3695"/>
      <c r="R24" s="1385"/>
      <c r="S24" s="1386"/>
      <c r="T24" s="1385"/>
      <c r="U24" s="1386"/>
      <c r="V24" s="1385"/>
      <c r="W24" s="1386"/>
      <c r="X24" s="3697"/>
      <c r="Y24" s="3921"/>
      <c r="Z24" s="3696"/>
      <c r="AA24" s="3698">
        <v>1</v>
      </c>
      <c r="AB24" s="3698">
        <v>1</v>
      </c>
      <c r="AC24" s="3698">
        <v>1</v>
      </c>
    </row>
    <row r="25" spans="1:29" ht="15.75" hidden="1" thickBot="1">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21"/>
      <c r="Q25" s="3695" t="str">
        <f t="shared" ref="Q25:Q46" si="8">B25</f>
        <v>楼层-1</v>
      </c>
      <c r="R25" s="1385" t="s">
        <v>8</v>
      </c>
      <c r="S25" s="1386">
        <f>F25</f>
        <v>100</v>
      </c>
      <c r="T25" s="1385" t="s">
        <v>8</v>
      </c>
      <c r="U25" s="1386">
        <f>H25</f>
        <v>100</v>
      </c>
      <c r="V25" s="1385" t="s">
        <v>8</v>
      </c>
      <c r="W25" s="1386">
        <f>J25</f>
        <v>100</v>
      </c>
      <c r="X25" s="3697"/>
      <c r="Y25" s="3921"/>
      <c r="Z25" s="3696" t="str">
        <f>Q25</f>
        <v>楼层-1</v>
      </c>
      <c r="AA25" s="3698">
        <f t="shared" si="3"/>
        <v>1</v>
      </c>
      <c r="AB25" s="3698">
        <f t="shared" si="4"/>
        <v>1</v>
      </c>
      <c r="AC25" s="3698">
        <f t="shared" si="5"/>
        <v>1</v>
      </c>
    </row>
    <row r="26" spans="1:29" ht="15.75" hidden="1" thickBot="1">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21"/>
      <c r="Q26" s="3695" t="str">
        <f t="shared" si="8"/>
        <v>朝向</v>
      </c>
      <c r="R26" s="1385" t="s">
        <v>8</v>
      </c>
      <c r="S26" s="1386">
        <f>F26</f>
        <v>100</v>
      </c>
      <c r="T26" s="1385" t="s">
        <v>8</v>
      </c>
      <c r="U26" s="1386">
        <f>H26</f>
        <v>100</v>
      </c>
      <c r="V26" s="1385" t="s">
        <v>8</v>
      </c>
      <c r="W26" s="1386">
        <f>J26</f>
        <v>100</v>
      </c>
      <c r="X26" s="3697"/>
      <c r="Y26" s="3921"/>
      <c r="Z26" s="3696" t="str">
        <f>Q26</f>
        <v>朝向</v>
      </c>
      <c r="AA26" s="3698">
        <f t="shared" si="3"/>
        <v>1</v>
      </c>
      <c r="AB26" s="3698">
        <f t="shared" si="4"/>
        <v>1</v>
      </c>
      <c r="AC26" s="3698">
        <f t="shared" si="5"/>
        <v>1</v>
      </c>
    </row>
    <row r="27" spans="1:29" s="1117" customFormat="1" ht="15.75" hidden="1" thickBot="1">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21"/>
      <c r="Q27" s="3693" t="str">
        <f t="shared" si="8"/>
        <v>道路级别</v>
      </c>
      <c r="R27" s="1380" t="s">
        <v>8</v>
      </c>
      <c r="S27" s="1381">
        <f>F27</f>
        <v>100</v>
      </c>
      <c r="T27" s="1380" t="s">
        <v>8</v>
      </c>
      <c r="U27" s="1381">
        <f>H27</f>
        <v>100</v>
      </c>
      <c r="V27" s="1380" t="s">
        <v>8</v>
      </c>
      <c r="W27" s="1381">
        <f>J27</f>
        <v>100</v>
      </c>
      <c r="X27" s="1382"/>
      <c r="Y27" s="3921"/>
      <c r="Z27" s="3688" t="str">
        <f>Q27</f>
        <v>道路级别</v>
      </c>
      <c r="AA27" s="3698">
        <f>D27/F27</f>
        <v>1</v>
      </c>
      <c r="AB27" s="3698">
        <f>D27/H27</f>
        <v>1</v>
      </c>
      <c r="AC27" s="3698">
        <f>D27/J27</f>
        <v>1</v>
      </c>
    </row>
    <row r="28" spans="1:29" ht="15.75" hidden="1" thickBot="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21"/>
      <c r="Q28" s="3695">
        <f t="shared" si="8"/>
        <v>111</v>
      </c>
      <c r="R28" s="1385" t="s">
        <v>8</v>
      </c>
      <c r="S28" s="1386">
        <f t="shared" ref="S28:S46" si="9">F28</f>
        <v>100</v>
      </c>
      <c r="T28" s="1385" t="s">
        <v>8</v>
      </c>
      <c r="U28" s="1386">
        <f t="shared" ref="U28:U46" si="10">H28</f>
        <v>100</v>
      </c>
      <c r="V28" s="1385" t="s">
        <v>8</v>
      </c>
      <c r="W28" s="1386">
        <f t="shared" ref="W28:W46" si="11">J28</f>
        <v>100</v>
      </c>
      <c r="X28" s="3697"/>
      <c r="Y28" s="3921"/>
      <c r="Z28" s="3696">
        <f t="shared" ref="Z28:Z46" si="12">Q28</f>
        <v>111</v>
      </c>
      <c r="AA28" s="3698">
        <f t="shared" si="3"/>
        <v>1</v>
      </c>
      <c r="AB28" s="3698">
        <f t="shared" si="4"/>
        <v>1</v>
      </c>
      <c r="AC28" s="3698">
        <f t="shared" si="5"/>
        <v>1</v>
      </c>
    </row>
    <row r="29" spans="1:29" ht="15.75" hidden="1" thickBot="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21"/>
      <c r="Q29" s="3695">
        <f t="shared" si="8"/>
        <v>111</v>
      </c>
      <c r="R29" s="1385" t="s">
        <v>8</v>
      </c>
      <c r="S29" s="1386">
        <f t="shared" si="9"/>
        <v>100</v>
      </c>
      <c r="T29" s="1385" t="s">
        <v>8</v>
      </c>
      <c r="U29" s="1386">
        <f t="shared" si="10"/>
        <v>100</v>
      </c>
      <c r="V29" s="1385" t="s">
        <v>8</v>
      </c>
      <c r="W29" s="1386">
        <f t="shared" si="11"/>
        <v>100</v>
      </c>
      <c r="X29" s="3697"/>
      <c r="Y29" s="3921"/>
      <c r="Z29" s="3696">
        <f t="shared" si="12"/>
        <v>111</v>
      </c>
      <c r="AA29" s="3698">
        <f t="shared" si="3"/>
        <v>1</v>
      </c>
      <c r="AB29" s="3698">
        <f t="shared" si="4"/>
        <v>1</v>
      </c>
      <c r="AC29" s="3698">
        <f t="shared" si="5"/>
        <v>1</v>
      </c>
    </row>
    <row r="30" spans="1:29" ht="15.75" hidden="1" thickBot="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21"/>
      <c r="Q30" s="3695">
        <f t="shared" si="8"/>
        <v>111</v>
      </c>
      <c r="R30" s="1385" t="s">
        <v>8</v>
      </c>
      <c r="S30" s="1386">
        <f t="shared" si="9"/>
        <v>100</v>
      </c>
      <c r="T30" s="1385" t="s">
        <v>8</v>
      </c>
      <c r="U30" s="1386">
        <f t="shared" si="10"/>
        <v>100</v>
      </c>
      <c r="V30" s="1385" t="s">
        <v>8</v>
      </c>
      <c r="W30" s="1386">
        <f t="shared" si="11"/>
        <v>100</v>
      </c>
      <c r="X30" s="3697"/>
      <c r="Y30" s="3921"/>
      <c r="Z30" s="3696">
        <f t="shared" si="12"/>
        <v>111</v>
      </c>
      <c r="AA30" s="3698">
        <f t="shared" si="3"/>
        <v>1</v>
      </c>
      <c r="AB30" s="3698">
        <f t="shared" si="4"/>
        <v>1</v>
      </c>
      <c r="AC30" s="3698">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21"/>
      <c r="Q31" s="3695">
        <f t="shared" si="8"/>
        <v>111</v>
      </c>
      <c r="R31" s="1385" t="s">
        <v>8</v>
      </c>
      <c r="S31" s="1386">
        <f t="shared" si="9"/>
        <v>100</v>
      </c>
      <c r="T31" s="1385" t="s">
        <v>8</v>
      </c>
      <c r="U31" s="1386">
        <f t="shared" si="10"/>
        <v>100</v>
      </c>
      <c r="V31" s="1385" t="s">
        <v>8</v>
      </c>
      <c r="W31" s="1386">
        <f t="shared" si="11"/>
        <v>100</v>
      </c>
      <c r="X31" s="3697"/>
      <c r="Y31" s="3921"/>
      <c r="Z31" s="3696">
        <f t="shared" si="12"/>
        <v>111</v>
      </c>
      <c r="AA31" s="3698">
        <f t="shared" si="3"/>
        <v>1</v>
      </c>
      <c r="AB31" s="3698">
        <f t="shared" si="4"/>
        <v>1</v>
      </c>
      <c r="AC31" s="3698">
        <f t="shared" si="5"/>
        <v>1</v>
      </c>
    </row>
    <row r="32" spans="1:29" ht="15">
      <c r="A32" s="2386" t="s">
        <v>2034</v>
      </c>
      <c r="B32" s="165" t="s">
        <v>672</v>
      </c>
      <c r="C32" s="841" t="s">
        <v>3381</v>
      </c>
      <c r="D32" s="567">
        <v>100</v>
      </c>
      <c r="E32" s="841" t="s">
        <v>3381</v>
      </c>
      <c r="F32" s="545">
        <f>SUMIF(100:100,E32,101:101)-SUMIF(100:100,C32,101:101)+100</f>
        <v>100</v>
      </c>
      <c r="G32" s="841" t="s">
        <v>3381</v>
      </c>
      <c r="H32" s="567">
        <f>SUMIF(100:100,G32,101:101)-SUMIF(100:100,C32,101:101)+100</f>
        <v>100</v>
      </c>
      <c r="I32" s="841" t="s">
        <v>3381</v>
      </c>
      <c r="J32" s="510">
        <f>SUMIF(100:100,I32,101:101)-SUMIF(100:100,C32,101:101)+100</f>
        <v>100</v>
      </c>
      <c r="K32" s="827">
        <v>2</v>
      </c>
      <c r="L32" s="1864"/>
      <c r="M32" s="1856"/>
      <c r="N32" s="1856"/>
      <c r="O32" s="1863"/>
      <c r="P32" s="3922" t="s">
        <v>499</v>
      </c>
      <c r="Q32" s="3695" t="str">
        <f t="shared" si="8"/>
        <v>建筑类型</v>
      </c>
      <c r="R32" s="1385" t="s">
        <v>8</v>
      </c>
      <c r="S32" s="1386">
        <f t="shared" si="9"/>
        <v>100</v>
      </c>
      <c r="T32" s="1385" t="s">
        <v>8</v>
      </c>
      <c r="U32" s="1386">
        <f t="shared" si="10"/>
        <v>100</v>
      </c>
      <c r="V32" s="1385" t="s">
        <v>8</v>
      </c>
      <c r="W32" s="1386">
        <f t="shared" si="11"/>
        <v>100</v>
      </c>
      <c r="X32" s="3697"/>
      <c r="Y32" s="3923" t="s">
        <v>499</v>
      </c>
      <c r="Z32" s="3696" t="str">
        <f t="shared" si="12"/>
        <v>建筑类型</v>
      </c>
      <c r="AA32" s="3698">
        <f t="shared" si="3"/>
        <v>1</v>
      </c>
      <c r="AB32" s="3698">
        <f t="shared" si="4"/>
        <v>1</v>
      </c>
      <c r="AC32" s="369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923"/>
      <c r="Q33" s="1413" t="str">
        <f t="shared" si="8"/>
        <v>项目建筑规模</v>
      </c>
      <c r="R33" s="1389" t="s">
        <v>8</v>
      </c>
      <c r="S33" s="1390">
        <f t="shared" si="9"/>
        <v>100</v>
      </c>
      <c r="T33" s="1389" t="s">
        <v>8</v>
      </c>
      <c r="U33" s="1390">
        <f t="shared" si="10"/>
        <v>100</v>
      </c>
      <c r="V33" s="1389" t="s">
        <v>8</v>
      </c>
      <c r="W33" s="1390">
        <f t="shared" si="11"/>
        <v>100</v>
      </c>
      <c r="X33" s="1391"/>
      <c r="Y33" s="3923"/>
      <c r="Z33" s="1392" t="str">
        <f t="shared" si="12"/>
        <v>项目建筑规模</v>
      </c>
      <c r="AA33" s="3698">
        <f t="shared" si="3"/>
        <v>1</v>
      </c>
      <c r="AB33" s="3698">
        <f t="shared" si="4"/>
        <v>1</v>
      </c>
      <c r="AC33" s="3698">
        <f t="shared" si="5"/>
        <v>1</v>
      </c>
    </row>
    <row r="34" spans="1:29" ht="15">
      <c r="A34" s="564"/>
      <c r="B34" s="497" t="s">
        <v>674</v>
      </c>
      <c r="C34" s="843" t="s">
        <v>3479</v>
      </c>
      <c r="D34" s="510">
        <v>100</v>
      </c>
      <c r="E34" s="843" t="s">
        <v>3479</v>
      </c>
      <c r="F34" s="545">
        <f>SUMIF(105:105,E34,106:106)-SUMIF(105:105,C34,106:106)+100</f>
        <v>100</v>
      </c>
      <c r="G34" s="843" t="s">
        <v>3479</v>
      </c>
      <c r="H34" s="510">
        <f>SUMIF(105:105,G34,106:106)-SUMIF(105:105,C34,106:106)+100</f>
        <v>100</v>
      </c>
      <c r="I34" s="843" t="s">
        <v>3479</v>
      </c>
      <c r="J34" s="510">
        <f>SUMIF(105:105,I34,106:106)-SUMIF(105:105,C34,106:106)+100</f>
        <v>100</v>
      </c>
      <c r="K34" s="827">
        <v>2</v>
      </c>
      <c r="L34" s="1864"/>
      <c r="M34" s="1856"/>
      <c r="N34" s="1856"/>
      <c r="O34" s="1863"/>
      <c r="P34" s="3923"/>
      <c r="Q34" s="3695" t="str">
        <f t="shared" si="8"/>
        <v>建筑结构</v>
      </c>
      <c r="R34" s="1385" t="s">
        <v>8</v>
      </c>
      <c r="S34" s="1386">
        <f t="shared" si="9"/>
        <v>100</v>
      </c>
      <c r="T34" s="1385" t="s">
        <v>8</v>
      </c>
      <c r="U34" s="1386">
        <f t="shared" si="10"/>
        <v>100</v>
      </c>
      <c r="V34" s="1385" t="s">
        <v>8</v>
      </c>
      <c r="W34" s="1386">
        <f t="shared" si="11"/>
        <v>100</v>
      </c>
      <c r="X34" s="3697"/>
      <c r="Y34" s="3923"/>
      <c r="Z34" s="3696" t="str">
        <f t="shared" si="12"/>
        <v>建筑结构</v>
      </c>
      <c r="AA34" s="3698">
        <f t="shared" si="3"/>
        <v>1</v>
      </c>
      <c r="AB34" s="3698">
        <f t="shared" si="4"/>
        <v>1</v>
      </c>
      <c r="AC34" s="3698">
        <f t="shared" si="5"/>
        <v>1</v>
      </c>
    </row>
    <row r="35" spans="1:29" ht="15">
      <c r="A35" s="564"/>
      <c r="B35" s="497" t="s">
        <v>675</v>
      </c>
      <c r="C35" s="569" t="s">
        <v>3480</v>
      </c>
      <c r="D35" s="510">
        <v>100</v>
      </c>
      <c r="E35" s="569" t="s">
        <v>3480</v>
      </c>
      <c r="F35" s="545">
        <f>SUMIF(107:107,E35,108:108)-SUMIF(107:107,C35,108:108)+100</f>
        <v>100</v>
      </c>
      <c r="G35" s="569" t="s">
        <v>3480</v>
      </c>
      <c r="H35" s="510">
        <f>SUMIF(107:107,G35,108:108)-SUMIF(107:107,C35,108:108)+100</f>
        <v>100</v>
      </c>
      <c r="I35" s="569" t="s">
        <v>3480</v>
      </c>
      <c r="J35" s="510">
        <f>SUMIF(107:107,I35,108:108)-SUMIF(107:107,C35,108:108)+100</f>
        <v>100</v>
      </c>
      <c r="K35" s="827">
        <v>5</v>
      </c>
      <c r="L35" s="1864"/>
      <c r="M35" s="1856"/>
      <c r="N35" s="1856"/>
      <c r="O35" s="1863"/>
      <c r="P35" s="3923"/>
      <c r="Q35" s="3695" t="str">
        <f t="shared" si="8"/>
        <v>建筑品质</v>
      </c>
      <c r="R35" s="1385" t="s">
        <v>8</v>
      </c>
      <c r="S35" s="1386">
        <f t="shared" si="9"/>
        <v>100</v>
      </c>
      <c r="T35" s="1385" t="s">
        <v>8</v>
      </c>
      <c r="U35" s="1386">
        <f t="shared" si="10"/>
        <v>100</v>
      </c>
      <c r="V35" s="1385" t="s">
        <v>8</v>
      </c>
      <c r="W35" s="1386">
        <f t="shared" si="11"/>
        <v>100</v>
      </c>
      <c r="X35" s="3697"/>
      <c r="Y35" s="3923"/>
      <c r="Z35" s="3696" t="str">
        <f t="shared" si="12"/>
        <v>建筑品质</v>
      </c>
      <c r="AA35" s="3698">
        <f t="shared" si="3"/>
        <v>1</v>
      </c>
      <c r="AB35" s="3698">
        <f t="shared" si="4"/>
        <v>1</v>
      </c>
      <c r="AC35" s="3698">
        <f t="shared" si="5"/>
        <v>1</v>
      </c>
    </row>
    <row r="36" spans="1:29" ht="15">
      <c r="A36" s="564"/>
      <c r="B36" s="497" t="s">
        <v>676</v>
      </c>
      <c r="C36" s="569" t="s">
        <v>3386</v>
      </c>
      <c r="D36" s="510">
        <v>100</v>
      </c>
      <c r="E36" s="569" t="s">
        <v>3386</v>
      </c>
      <c r="F36" s="545">
        <f>SUMIF(109:109,E36,110:110)-SUMIF(109:109,C36,110:110)+100</f>
        <v>100</v>
      </c>
      <c r="G36" s="569" t="s">
        <v>3386</v>
      </c>
      <c r="H36" s="510">
        <f>SUMIF(109:109,G36,110:110)-SUMIF(109:109,C36,110:110)+100</f>
        <v>100</v>
      </c>
      <c r="I36" s="569" t="s">
        <v>3386</v>
      </c>
      <c r="J36" s="510">
        <f>SUMIF(109:109,I36,110:110)-SUMIF(109:109,C36,110:110)+100</f>
        <v>100</v>
      </c>
      <c r="K36" s="827">
        <v>2</v>
      </c>
      <c r="L36" s="1864"/>
      <c r="M36" s="1856"/>
      <c r="N36" s="1856"/>
      <c r="O36" s="1863"/>
      <c r="P36" s="3923"/>
      <c r="Q36" s="3695" t="str">
        <f t="shared" si="8"/>
        <v>公共部分装修</v>
      </c>
      <c r="R36" s="1385" t="s">
        <v>8</v>
      </c>
      <c r="S36" s="1386">
        <f t="shared" si="9"/>
        <v>100</v>
      </c>
      <c r="T36" s="1385" t="s">
        <v>8</v>
      </c>
      <c r="U36" s="1386">
        <f t="shared" si="10"/>
        <v>100</v>
      </c>
      <c r="V36" s="1385" t="s">
        <v>8</v>
      </c>
      <c r="W36" s="1386">
        <f t="shared" si="11"/>
        <v>100</v>
      </c>
      <c r="X36" s="3697"/>
      <c r="Y36" s="3923"/>
      <c r="Z36" s="3696" t="str">
        <f t="shared" si="12"/>
        <v>公共部分装修</v>
      </c>
      <c r="AA36" s="3698">
        <f t="shared" si="3"/>
        <v>1</v>
      </c>
      <c r="AB36" s="3698">
        <f t="shared" si="4"/>
        <v>1</v>
      </c>
      <c r="AC36" s="3698">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7"/>
      <c r="M37" s="1858"/>
      <c r="N37" s="1858"/>
      <c r="O37" s="1859"/>
      <c r="P37" s="3923"/>
      <c r="Q37" s="3693" t="str">
        <f t="shared" si="8"/>
        <v>成新度</v>
      </c>
      <c r="R37" s="1380" t="s">
        <v>8</v>
      </c>
      <c r="S37" s="1381">
        <f t="shared" si="9"/>
        <v>100</v>
      </c>
      <c r="T37" s="1380" t="s">
        <v>8</v>
      </c>
      <c r="U37" s="1381">
        <f t="shared" si="10"/>
        <v>100</v>
      </c>
      <c r="V37" s="1380" t="s">
        <v>8</v>
      </c>
      <c r="W37" s="1381">
        <f t="shared" si="11"/>
        <v>100</v>
      </c>
      <c r="X37" s="1382"/>
      <c r="Y37" s="3923"/>
      <c r="Z37" s="3688" t="str">
        <f t="shared" si="12"/>
        <v>成新度</v>
      </c>
      <c r="AA37" s="1383">
        <f t="shared" si="3"/>
        <v>1</v>
      </c>
      <c r="AB37" s="1383">
        <f t="shared" si="4"/>
        <v>1</v>
      </c>
      <c r="AC37" s="1383">
        <f t="shared" si="5"/>
        <v>1</v>
      </c>
    </row>
    <row r="38" spans="1:29" ht="15">
      <c r="A38" s="564"/>
      <c r="B38" s="497" t="s">
        <v>678</v>
      </c>
      <c r="C38" s="569" t="s">
        <v>3481</v>
      </c>
      <c r="D38" s="510">
        <v>100</v>
      </c>
      <c r="E38" s="569" t="s">
        <v>3481</v>
      </c>
      <c r="F38" s="545">
        <f>SUMIF(114:114,E38,115:115)-SUMIF(114:114,C38,115:115)+100</f>
        <v>100</v>
      </c>
      <c r="G38" s="569" t="s">
        <v>3481</v>
      </c>
      <c r="H38" s="510">
        <f>SUMIF(114:114,G38,115:115)-SUMIF(114:114,C38,115:115)+100</f>
        <v>100</v>
      </c>
      <c r="I38" s="569" t="s">
        <v>3481</v>
      </c>
      <c r="J38" s="510">
        <f>SUMIF(114:114,I38,115:115)-SUMIF(114:114,C38,115:115)+100</f>
        <v>100</v>
      </c>
      <c r="K38" s="827">
        <v>2</v>
      </c>
      <c r="L38" s="1864"/>
      <c r="M38" s="1856"/>
      <c r="N38" s="1856"/>
      <c r="O38" s="1863"/>
      <c r="P38" s="3923" t="s">
        <v>499</v>
      </c>
      <c r="Q38" s="3695" t="str">
        <f t="shared" si="8"/>
        <v>物业管理</v>
      </c>
      <c r="R38" s="1385" t="s">
        <v>8</v>
      </c>
      <c r="S38" s="1386">
        <f t="shared" si="9"/>
        <v>100</v>
      </c>
      <c r="T38" s="1385" t="s">
        <v>8</v>
      </c>
      <c r="U38" s="1386">
        <f t="shared" si="10"/>
        <v>100</v>
      </c>
      <c r="V38" s="1385" t="s">
        <v>8</v>
      </c>
      <c r="W38" s="1386">
        <f t="shared" si="11"/>
        <v>100</v>
      </c>
      <c r="X38" s="3697"/>
      <c r="Y38" s="3923" t="s">
        <v>499</v>
      </c>
      <c r="Z38" s="3696" t="str">
        <f t="shared" si="12"/>
        <v>物业管理</v>
      </c>
      <c r="AA38" s="3698">
        <f t="shared" si="3"/>
        <v>1</v>
      </c>
      <c r="AB38" s="3698">
        <f t="shared" si="4"/>
        <v>1</v>
      </c>
      <c r="AC38" s="3698">
        <f t="shared" si="5"/>
        <v>1</v>
      </c>
    </row>
    <row r="39" spans="1:29" ht="15">
      <c r="A39" s="564"/>
      <c r="B39" s="1650" t="s">
        <v>1844</v>
      </c>
      <c r="C39" s="569" t="s">
        <v>3272</v>
      </c>
      <c r="D39" s="510">
        <v>100</v>
      </c>
      <c r="E39" s="569" t="s">
        <v>3272</v>
      </c>
      <c r="F39" s="545">
        <f>SUMIF(116:116,E39,117:117)-SUMIF(116:116,C39,117:117)+100</f>
        <v>100</v>
      </c>
      <c r="G39" s="569" t="s">
        <v>3272</v>
      </c>
      <c r="H39" s="510">
        <f>SUMIF(116:116,G39,117:117)-SUMIF(116:116,C39,117:117)+100</f>
        <v>100</v>
      </c>
      <c r="I39" s="569" t="s">
        <v>3272</v>
      </c>
      <c r="J39" s="510">
        <f>SUMIF(116:116,I39,117:117)-SUMIF(116:116,C39,117:117)+100</f>
        <v>100</v>
      </c>
      <c r="K39" s="827">
        <v>1</v>
      </c>
      <c r="L39" s="1864"/>
      <c r="M39" s="1856"/>
      <c r="N39" s="1856"/>
      <c r="O39" s="1863"/>
      <c r="P39" s="3923"/>
      <c r="Q39" s="3695" t="str">
        <f t="shared" si="8"/>
        <v>市政基础设施</v>
      </c>
      <c r="R39" s="1385" t="s">
        <v>8</v>
      </c>
      <c r="S39" s="1386">
        <f t="shared" si="9"/>
        <v>100</v>
      </c>
      <c r="T39" s="1385" t="s">
        <v>8</v>
      </c>
      <c r="U39" s="1386">
        <f t="shared" si="10"/>
        <v>100</v>
      </c>
      <c r="V39" s="1385" t="s">
        <v>8</v>
      </c>
      <c r="W39" s="1386">
        <f t="shared" si="11"/>
        <v>100</v>
      </c>
      <c r="X39" s="3697"/>
      <c r="Y39" s="3923"/>
      <c r="Z39" s="3696" t="str">
        <f t="shared" si="12"/>
        <v>市政基础设施</v>
      </c>
      <c r="AA39" s="3698">
        <f t="shared" si="3"/>
        <v>1</v>
      </c>
      <c r="AB39" s="3698">
        <f t="shared" si="4"/>
        <v>1</v>
      </c>
      <c r="AC39" s="3698">
        <f t="shared" si="5"/>
        <v>1</v>
      </c>
    </row>
    <row r="40" spans="1:29" ht="15" hidden="1">
      <c r="A40" s="564"/>
      <c r="B40" s="497" t="s">
        <v>679</v>
      </c>
      <c r="C40" s="569"/>
      <c r="D40" s="510">
        <v>100</v>
      </c>
      <c r="E40" s="569"/>
      <c r="F40" s="545">
        <f>SUMIF(118:118,E40,119:119)-SUMIF(118:118,C40,119:119)+100</f>
        <v>100</v>
      </c>
      <c r="G40" s="569"/>
      <c r="H40" s="510">
        <f>SUMIF(118:118,G40,119:119)-SUMIF(118:118,C40,119:119)+100</f>
        <v>100</v>
      </c>
      <c r="I40" s="569"/>
      <c r="J40" s="510">
        <f>SUMIF(118:118,I40,119:119)-SUMIF(118:118,C40,119:119)+100</f>
        <v>100</v>
      </c>
      <c r="K40" s="827"/>
      <c r="L40" s="1864"/>
      <c r="M40" s="1856"/>
      <c r="N40" s="1856"/>
      <c r="O40" s="1863"/>
      <c r="P40" s="3923"/>
      <c r="Q40" s="3695" t="str">
        <f t="shared" si="8"/>
        <v>房型</v>
      </c>
      <c r="R40" s="1385" t="s">
        <v>8</v>
      </c>
      <c r="S40" s="1386">
        <f t="shared" si="9"/>
        <v>100</v>
      </c>
      <c r="T40" s="1385" t="s">
        <v>8</v>
      </c>
      <c r="U40" s="1386">
        <f t="shared" si="10"/>
        <v>100</v>
      </c>
      <c r="V40" s="1385" t="s">
        <v>8</v>
      </c>
      <c r="W40" s="1386">
        <f t="shared" si="11"/>
        <v>100</v>
      </c>
      <c r="X40" s="3697"/>
      <c r="Y40" s="3923"/>
      <c r="Z40" s="3696" t="str">
        <f t="shared" si="12"/>
        <v>房型</v>
      </c>
      <c r="AA40" s="3698">
        <f t="shared" si="3"/>
        <v>1</v>
      </c>
      <c r="AB40" s="3698">
        <f t="shared" si="4"/>
        <v>1</v>
      </c>
      <c r="AC40" s="3698">
        <f t="shared" si="5"/>
        <v>1</v>
      </c>
    </row>
    <row r="41" spans="1:29" s="1199" customFormat="1" ht="28.5" hidden="1">
      <c r="A41" s="573"/>
      <c r="B41" s="497" t="s">
        <v>680</v>
      </c>
      <c r="C41" s="842"/>
      <c r="D41" s="246">
        <v>100</v>
      </c>
      <c r="E41" s="842"/>
      <c r="F41" s="826">
        <f>SUMIF(120:120,E41,121:121)-SUMIF(120:120,C41,121:121)+100</f>
        <v>100</v>
      </c>
      <c r="G41" s="842"/>
      <c r="H41" s="246">
        <f>SUMIF(120:120,G41,121:121)-SUMIF(120:120,C41,121:121)+100</f>
        <v>100</v>
      </c>
      <c r="I41" s="842"/>
      <c r="J41" s="510">
        <f>SUMIF(120:120,I41,121:121)-SUMIF(120:120,C41,121:121)+100</f>
        <v>100</v>
      </c>
      <c r="K41" s="828"/>
      <c r="L41" s="1862"/>
      <c r="M41" s="1892"/>
      <c r="N41" s="1892"/>
      <c r="O41" s="1865"/>
      <c r="P41" s="3923"/>
      <c r="Q41" s="1413" t="str">
        <f t="shared" si="8"/>
        <v>单套/主力户型建筑面积</v>
      </c>
      <c r="R41" s="1389" t="s">
        <v>8</v>
      </c>
      <c r="S41" s="1390">
        <f t="shared" si="9"/>
        <v>100</v>
      </c>
      <c r="T41" s="1389" t="s">
        <v>8</v>
      </c>
      <c r="U41" s="1390">
        <f t="shared" si="10"/>
        <v>100</v>
      </c>
      <c r="V41" s="1389" t="s">
        <v>8</v>
      </c>
      <c r="W41" s="1390">
        <f t="shared" si="11"/>
        <v>100</v>
      </c>
      <c r="X41" s="1391"/>
      <c r="Y41" s="3923"/>
      <c r="Z41" s="1392" t="str">
        <f t="shared" si="12"/>
        <v>单套/主力户型建筑面积</v>
      </c>
      <c r="AA41" s="3698">
        <f t="shared" si="3"/>
        <v>1</v>
      </c>
      <c r="AB41" s="3698">
        <f t="shared" si="4"/>
        <v>1</v>
      </c>
      <c r="AC41" s="3698">
        <f t="shared" si="5"/>
        <v>1</v>
      </c>
    </row>
    <row r="42" spans="1:29" ht="15">
      <c r="A42" s="564"/>
      <c r="B42" s="497" t="s">
        <v>681</v>
      </c>
      <c r="C42" s="569" t="s">
        <v>3386</v>
      </c>
      <c r="D42" s="510">
        <v>100</v>
      </c>
      <c r="E42" s="569" t="s">
        <v>3386</v>
      </c>
      <c r="F42" s="545">
        <f>SUMIF(122:122,E42,123:123)-SUMIF(122:122,C42,123:123)+100</f>
        <v>100</v>
      </c>
      <c r="G42" s="569" t="s">
        <v>3386</v>
      </c>
      <c r="H42" s="510">
        <f>SUMIF(122:122,G42,123:123)-SUMIF(122:122,C42,123:123)+100</f>
        <v>100</v>
      </c>
      <c r="I42" s="569" t="s">
        <v>3386</v>
      </c>
      <c r="J42" s="510">
        <f>SUMIF(122:122,I42,123:123)-SUMIF(122:122,C42,123:123)+100</f>
        <v>100</v>
      </c>
      <c r="K42" s="827">
        <v>2</v>
      </c>
      <c r="L42" s="1864"/>
      <c r="M42" s="1856"/>
      <c r="N42" s="1856"/>
      <c r="O42" s="1863"/>
      <c r="P42" s="3923"/>
      <c r="Q42" s="3695" t="str">
        <f t="shared" si="8"/>
        <v>内部装修</v>
      </c>
      <c r="R42" s="1385" t="s">
        <v>8</v>
      </c>
      <c r="S42" s="1386">
        <f t="shared" si="9"/>
        <v>100</v>
      </c>
      <c r="T42" s="1385" t="s">
        <v>8</v>
      </c>
      <c r="U42" s="1386">
        <f t="shared" si="10"/>
        <v>100</v>
      </c>
      <c r="V42" s="1385" t="s">
        <v>8</v>
      </c>
      <c r="W42" s="1386">
        <f t="shared" si="11"/>
        <v>100</v>
      </c>
      <c r="X42" s="3697"/>
      <c r="Y42" s="3923"/>
      <c r="Z42" s="3696" t="str">
        <f t="shared" si="12"/>
        <v>内部装修</v>
      </c>
      <c r="AA42" s="3698">
        <f t="shared" si="3"/>
        <v>1</v>
      </c>
      <c r="AB42" s="3698">
        <f t="shared" si="4"/>
        <v>1</v>
      </c>
      <c r="AC42" s="3698">
        <f t="shared" si="5"/>
        <v>1</v>
      </c>
    </row>
    <row r="43" spans="1:29" ht="27">
      <c r="A43" s="564"/>
      <c r="B43" s="497" t="s">
        <v>682</v>
      </c>
      <c r="C43" s="569" t="s">
        <v>3270</v>
      </c>
      <c r="D43" s="510">
        <v>100</v>
      </c>
      <c r="E43" s="569" t="s">
        <v>3270</v>
      </c>
      <c r="F43" s="545">
        <f>SUMIF(124:124,E43,125:125)-SUMIF(124:124,C43,125:125)+100</f>
        <v>100</v>
      </c>
      <c r="G43" s="569" t="s">
        <v>3270</v>
      </c>
      <c r="H43" s="510">
        <f>SUMIF(124:124,G43,125:125)-SUMIF(124:124,C43,125:125)+100</f>
        <v>100</v>
      </c>
      <c r="I43" s="569" t="s">
        <v>3270</v>
      </c>
      <c r="J43" s="510">
        <f>SUMIF(124:124,I43,125:125)-SUMIF(124:124,C43,125:125)+100</f>
        <v>100</v>
      </c>
      <c r="K43" s="827">
        <v>2</v>
      </c>
      <c r="L43" s="1864"/>
      <c r="M43" s="1856"/>
      <c r="N43" s="1856"/>
      <c r="O43" s="1863"/>
      <c r="P43" s="3923"/>
      <c r="Q43" s="3695" t="str">
        <f t="shared" si="8"/>
        <v>内部装修维护情况</v>
      </c>
      <c r="R43" s="1385" t="s">
        <v>8</v>
      </c>
      <c r="S43" s="1386">
        <f t="shared" si="9"/>
        <v>100</v>
      </c>
      <c r="T43" s="1385" t="s">
        <v>8</v>
      </c>
      <c r="U43" s="1386">
        <f t="shared" si="10"/>
        <v>100</v>
      </c>
      <c r="V43" s="1385" t="s">
        <v>8</v>
      </c>
      <c r="W43" s="1386">
        <f t="shared" si="11"/>
        <v>100</v>
      </c>
      <c r="X43" s="3697"/>
      <c r="Y43" s="3923"/>
      <c r="Z43" s="3696" t="str">
        <f t="shared" si="12"/>
        <v>内部装修维护情况</v>
      </c>
      <c r="AA43" s="3698">
        <f t="shared" si="3"/>
        <v>1</v>
      </c>
      <c r="AB43" s="3698">
        <f t="shared" si="4"/>
        <v>1</v>
      </c>
      <c r="AC43" s="3698">
        <f t="shared" si="5"/>
        <v>1</v>
      </c>
    </row>
    <row r="44" spans="1:29" s="1117" customFormat="1" ht="15">
      <c r="A44" s="570"/>
      <c r="B44" s="3719" t="s">
        <v>3580</v>
      </c>
      <c r="C44" s="509"/>
      <c r="D44" s="246">
        <v>100</v>
      </c>
      <c r="E44" s="509"/>
      <c r="F44" s="826">
        <f>SUMIF(126:126,E44,127:127)-SUMIF(126:126,C44,127:127)+100</f>
        <v>100</v>
      </c>
      <c r="G44" s="509"/>
      <c r="H44" s="246">
        <f>SUMIF(126:126,G44,127:127)-SUMIF(126:126,C44,127:127)+100</f>
        <v>100</v>
      </c>
      <c r="I44" s="509"/>
      <c r="J44" s="246">
        <f>SUMIF(126:126,I44,127:127)-SUMIF(126:126,C44,127:127)+100</f>
        <v>100</v>
      </c>
      <c r="K44" s="828"/>
      <c r="L44" s="1857"/>
      <c r="M44" s="1858"/>
      <c r="N44" s="1858"/>
      <c r="O44" s="1859"/>
      <c r="P44" s="3923"/>
      <c r="Q44" s="3693" t="str">
        <f t="shared" si="8"/>
        <v>临海</v>
      </c>
      <c r="R44" s="1380" t="s">
        <v>8</v>
      </c>
      <c r="S44" s="1381">
        <f t="shared" si="9"/>
        <v>100</v>
      </c>
      <c r="T44" s="1380" t="s">
        <v>8</v>
      </c>
      <c r="U44" s="1381">
        <f t="shared" si="10"/>
        <v>100</v>
      </c>
      <c r="V44" s="1380" t="s">
        <v>8</v>
      </c>
      <c r="W44" s="1381">
        <f t="shared" si="11"/>
        <v>100</v>
      </c>
      <c r="X44" s="1382"/>
      <c r="Y44" s="3923"/>
      <c r="Z44" s="3688" t="str">
        <f t="shared" si="12"/>
        <v>临海</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23"/>
      <c r="Q45" s="3695">
        <f t="shared" si="8"/>
        <v>111</v>
      </c>
      <c r="R45" s="1385" t="s">
        <v>8</v>
      </c>
      <c r="S45" s="1386">
        <f t="shared" si="9"/>
        <v>100</v>
      </c>
      <c r="T45" s="1385" t="s">
        <v>8</v>
      </c>
      <c r="U45" s="1386">
        <f t="shared" si="10"/>
        <v>100</v>
      </c>
      <c r="V45" s="1385" t="s">
        <v>8</v>
      </c>
      <c r="W45" s="1386">
        <f t="shared" si="11"/>
        <v>100</v>
      </c>
      <c r="X45" s="3697"/>
      <c r="Y45" s="3923"/>
      <c r="Z45" s="3696">
        <f t="shared" si="12"/>
        <v>111</v>
      </c>
      <c r="AA45" s="3698">
        <f t="shared" si="3"/>
        <v>1</v>
      </c>
      <c r="AB45" s="3698">
        <f t="shared" si="4"/>
        <v>1</v>
      </c>
      <c r="AC45" s="369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35"/>
      <c r="Q46" s="3695">
        <f t="shared" si="8"/>
        <v>111</v>
      </c>
      <c r="R46" s="1385" t="s">
        <v>7</v>
      </c>
      <c r="S46" s="1386">
        <f t="shared" si="9"/>
        <v>100</v>
      </c>
      <c r="T46" s="1385" t="s">
        <v>7</v>
      </c>
      <c r="U46" s="1386">
        <f t="shared" si="10"/>
        <v>100</v>
      </c>
      <c r="V46" s="1385" t="s">
        <v>7</v>
      </c>
      <c r="W46" s="1386">
        <f t="shared" si="11"/>
        <v>100</v>
      </c>
      <c r="X46" s="3697"/>
      <c r="Y46" s="4035"/>
      <c r="Z46" s="3696">
        <f t="shared" si="12"/>
        <v>111</v>
      </c>
      <c r="AA46" s="3698">
        <f t="shared" si="3"/>
        <v>1</v>
      </c>
      <c r="AB46" s="3698">
        <f t="shared" si="4"/>
        <v>1</v>
      </c>
      <c r="AC46" s="3698">
        <f t="shared" si="5"/>
        <v>1</v>
      </c>
    </row>
    <row r="47" spans="1:29" ht="15">
      <c r="A47" s="577" t="s">
        <v>683</v>
      </c>
      <c r="B47" s="849"/>
      <c r="C47" s="2233" t="s">
        <v>6</v>
      </c>
      <c r="D47" s="2234"/>
      <c r="E47" s="2235">
        <f>'其他-案例'!C65</f>
        <v>27000</v>
      </c>
      <c r="F47" s="2236"/>
      <c r="G47" s="2237">
        <f>'其他-案例'!C66</f>
        <v>32000</v>
      </c>
      <c r="H47" s="2238"/>
      <c r="I47" s="2235">
        <f>'其他-案例'!C67</f>
        <v>29000</v>
      </c>
      <c r="J47" s="2238"/>
      <c r="K47" s="1414"/>
      <c r="L47" s="1866"/>
      <c r="M47" s="1867"/>
      <c r="N47" s="1856"/>
      <c r="O47" s="1867"/>
      <c r="P47" s="3918" t="str">
        <f>A47</f>
        <v>成交单价（元/平方米）</v>
      </c>
      <c r="Q47" s="3918"/>
      <c r="R47" s="4034">
        <f>E47</f>
        <v>27000</v>
      </c>
      <c r="S47" s="4034"/>
      <c r="T47" s="4034">
        <f>G47</f>
        <v>32000</v>
      </c>
      <c r="U47" s="4034"/>
      <c r="V47" s="4034">
        <f>I47</f>
        <v>29000</v>
      </c>
      <c r="W47" s="4034"/>
      <c r="X47" s="1374"/>
      <c r="Y47" s="1393"/>
      <c r="Z47" s="1374"/>
      <c r="AA47" s="1374"/>
      <c r="AB47" s="1374"/>
      <c r="AC47" s="1374"/>
    </row>
    <row r="48" spans="1:29" ht="15.75" thickBot="1">
      <c r="A48" s="585" t="s">
        <v>1972</v>
      </c>
      <c r="B48" s="850"/>
      <c r="C48" s="2239">
        <f>R49</f>
        <v>27795</v>
      </c>
      <c r="D48" s="2756" t="s">
        <v>2253</v>
      </c>
      <c r="E48" s="2240">
        <f>R48</f>
        <v>26471</v>
      </c>
      <c r="F48" s="2757"/>
      <c r="G48" s="2239">
        <f>T48</f>
        <v>31373</v>
      </c>
      <c r="H48" s="2757"/>
      <c r="I48" s="2240">
        <f>V48</f>
        <v>25540</v>
      </c>
      <c r="J48" s="2757"/>
      <c r="K48" s="2765">
        <f>F48+H48+J48</f>
        <v>0</v>
      </c>
      <c r="L48" s="1866"/>
      <c r="M48" s="1867"/>
      <c r="N48" s="1867"/>
      <c r="O48" s="1867"/>
      <c r="P48" s="3918" t="str">
        <f>A48</f>
        <v>比较价格（元/平方米）</v>
      </c>
      <c r="Q48" s="3918"/>
      <c r="R48" s="4034">
        <f>IF(F1="售价",ROUND(PRODUCT(R47,AA7:AA46),0),ROUND(PRODUCT(R47,AA7:AA46),1))</f>
        <v>26471</v>
      </c>
      <c r="S48" s="4034"/>
      <c r="T48" s="4034">
        <f>IF(F1="售价",ROUND(PRODUCT(T47,AB7:AB46),0),ROUND(PRODUCT(T47,AB7:AB46),1))</f>
        <v>31373</v>
      </c>
      <c r="U48" s="4034"/>
      <c r="V48" s="4034">
        <f>IF(F1="售价",ROUND(PRODUCT(V47,AC7:AC46),0),ROUND(PRODUCT(V47,AC7:AC46),1))</f>
        <v>25540</v>
      </c>
      <c r="W48" s="4034"/>
      <c r="X48" s="1374"/>
      <c r="Y48" s="1374"/>
      <c r="Z48" s="1374"/>
      <c r="AA48" s="1374"/>
      <c r="AB48" s="1374"/>
      <c r="AC48" s="1374"/>
    </row>
    <row r="49" spans="1:29" ht="15.75" thickBot="1">
      <c r="A49" s="589" t="s">
        <v>2190</v>
      </c>
      <c r="B49" s="590"/>
      <c r="C49" s="2241">
        <f>R49</f>
        <v>27795</v>
      </c>
      <c r="D49" s="2241"/>
      <c r="E49" s="2241"/>
      <c r="F49" s="2241"/>
      <c r="G49" s="2241"/>
      <c r="H49" s="2241"/>
      <c r="I49" s="2241"/>
      <c r="J49" s="2241"/>
      <c r="K49" s="1415"/>
      <c r="L49" s="1866"/>
      <c r="M49" s="1867"/>
      <c r="N49" s="1867"/>
      <c r="O49" s="1867"/>
      <c r="P49" s="3924" t="str">
        <f>A49</f>
        <v>估价对象XX用房的比较价格（楼面单价，元/平方米）</v>
      </c>
      <c r="Q49" s="3925"/>
      <c r="R49" s="4033">
        <f>IF(F1="售价",ROUND(IF(D48="简单平均",AVERAGE(R48:V48),R48*F48+T48*H48+V48*J48),0),ROUND(IF(D48="简单平均",AVERAGE(R48:V48),R48*F48+T48*H48+V48*J48),1))</f>
        <v>27795</v>
      </c>
      <c r="S49" s="4033"/>
      <c r="T49" s="4033"/>
      <c r="U49" s="4033"/>
      <c r="V49" s="4033"/>
      <c r="W49" s="403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1.9984133580144281E-2</v>
      </c>
      <c r="F52" s="595" t="str">
        <f>IF(OR(E52&gt;=0.3,E52&lt;=-0.3),"超过30%","")</f>
        <v/>
      </c>
      <c r="G52" s="594">
        <f>IF(G47&lt;G48,G48/G47-1,G47/G48-1)</f>
        <v>1.9985337710770379E-2</v>
      </c>
      <c r="H52" s="595" t="str">
        <f>IF(OR(G52&gt;=0.3,G52&lt;=-0.3),"超过30%","")</f>
        <v/>
      </c>
      <c r="I52" s="594">
        <f>IF(I47&lt;I48,I48/I47-1,I47/I48-1)</f>
        <v>0.13547376664056388</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0.18518378602999519</v>
      </c>
      <c r="F53" s="595" t="str">
        <f>IF(OR(E53&gt;=0.2,E53&lt;=-0.2),"超过20%","")</f>
        <v/>
      </c>
      <c r="G53" s="594">
        <f>IF(G48&lt;I48,I48/G48-1,G48/I48-1)</f>
        <v>0.22838684416601418</v>
      </c>
      <c r="H53" s="595" t="str">
        <f>IF(OR(G53&gt;=0.2,G53&lt;=-0.2),"超过20%","")</f>
        <v>超过20%</v>
      </c>
      <c r="I53" s="594">
        <f>IF(I48&lt;E48,E48/I48-1,I48/E48-1)</f>
        <v>3.6452623335943679E-2</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0.18518518518518512</v>
      </c>
      <c r="F54" s="595" t="str">
        <f>IF(OR(E54&gt;=0.3,E54&lt;=-0.3),"超过30%","")</f>
        <v/>
      </c>
      <c r="G54" s="594">
        <f>IF(G47&lt;I47,I47/G47-1,G47/I47-1)</f>
        <v>0.10344827586206895</v>
      </c>
      <c r="H54" s="595" t="str">
        <f>IF(OR(G54&gt;=0.3,G54&lt;=-0.3),"超过30%","")</f>
        <v/>
      </c>
      <c r="I54" s="594">
        <f>IF(I47&lt;E47,E47/I47-1,I47/E47-1)</f>
        <v>7.4074074074074181E-2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v>100</v>
      </c>
      <c r="E59" s="618">
        <v>100</v>
      </c>
      <c r="F59" s="618">
        <v>100</v>
      </c>
      <c r="G59" s="618">
        <v>100</v>
      </c>
      <c r="H59" s="618">
        <v>100</v>
      </c>
      <c r="I59" s="618">
        <v>100</v>
      </c>
      <c r="J59" s="618">
        <v>100</v>
      </c>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3681" t="s">
        <v>3378</v>
      </c>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v>102</v>
      </c>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公寓</v>
      </c>
      <c r="D63" s="3678" t="s">
        <v>3450</v>
      </c>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v>100</v>
      </c>
      <c r="D64" s="639">
        <v>120</v>
      </c>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1</v>
      </c>
      <c r="E68" s="511">
        <v>2</v>
      </c>
      <c r="F68" s="511">
        <v>3</v>
      </c>
      <c r="G68" s="511">
        <v>4</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98</v>
      </c>
      <c r="E79" s="647">
        <f>D79-$K17</f>
        <v>96</v>
      </c>
      <c r="F79" s="647">
        <f>E79-$K17</f>
        <v>94</v>
      </c>
      <c r="G79" s="647">
        <f>F79-$K17</f>
        <v>92</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1673</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97</v>
      </c>
      <c r="E81" s="647">
        <f>D81-$K19</f>
        <v>94</v>
      </c>
      <c r="F81" s="647">
        <f>E81-$K19</f>
        <v>91</v>
      </c>
      <c r="G81" s="647">
        <f>F81-$K19</f>
        <v>88</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1827</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1615</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3379</v>
      </c>
      <c r="D100" s="3678" t="s">
        <v>3380</v>
      </c>
      <c r="E100" s="3678" t="s">
        <v>3382</v>
      </c>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7"/>
      <c r="B102" s="641" t="s">
        <v>688</v>
      </c>
      <c r="C102" s="676" t="str">
        <f>C103&amp;"(含)"&amp;"-"&amp;D103</f>
        <v>0(含)-10000000</v>
      </c>
      <c r="D102" s="676" t="str">
        <f t="shared" ref="D102:L102" si="19">D103&amp;"(含)"&amp;"-"&amp;E103</f>
        <v>10000000(含)-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v>10000000</v>
      </c>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v>100</v>
      </c>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0" t="s">
        <v>3383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3679" t="s">
        <v>3384</v>
      </c>
      <c r="D107" s="3679" t="s">
        <v>3385</v>
      </c>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95</v>
      </c>
      <c r="E108" s="647">
        <f t="shared" si="21"/>
        <v>90</v>
      </c>
      <c r="F108" s="647">
        <f t="shared" si="21"/>
        <v>85</v>
      </c>
      <c r="G108" s="647">
        <f t="shared" si="21"/>
        <v>80</v>
      </c>
      <c r="H108" s="647">
        <f t="shared" si="21"/>
        <v>75</v>
      </c>
      <c r="I108" s="647">
        <f t="shared" si="21"/>
        <v>70</v>
      </c>
      <c r="J108" s="647">
        <f t="shared" si="21"/>
        <v>65</v>
      </c>
      <c r="K108" s="647">
        <f t="shared" si="21"/>
        <v>60</v>
      </c>
      <c r="L108" s="647">
        <f t="shared" si="21"/>
        <v>55</v>
      </c>
      <c r="M108" s="647">
        <f t="shared" si="21"/>
        <v>50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0" t="s">
        <v>3387</v>
      </c>
      <c r="D109" s="3680" t="s">
        <v>3388</v>
      </c>
      <c r="E109" s="3680" t="s">
        <v>3389</v>
      </c>
      <c r="F109" s="3679" t="s">
        <v>3390</v>
      </c>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3680" t="s">
        <v>3391</v>
      </c>
      <c r="D114" s="3680" t="s">
        <v>3392</v>
      </c>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1836</v>
      </c>
      <c r="C116" s="656" t="str">
        <f>C82</f>
        <v>七通</v>
      </c>
      <c r="D116" s="656" t="str">
        <f>D82</f>
        <v>六通</v>
      </c>
      <c r="E116" s="656" t="str">
        <f>E82</f>
        <v>五通</v>
      </c>
      <c r="F116" s="656" t="str">
        <f>F82</f>
        <v>四通</v>
      </c>
      <c r="G116" s="656" t="str">
        <f>G82</f>
        <v>三通</v>
      </c>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t="str">
        <f>C109</f>
        <v>精装修</v>
      </c>
      <c r="D122" s="656" t="str">
        <f>D109</f>
        <v>普通装修</v>
      </c>
      <c r="E122" s="656" t="str">
        <f>E109</f>
        <v>简单装修</v>
      </c>
      <c r="F122" s="656" t="str">
        <f>F109</f>
        <v>毛坯</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98</v>
      </c>
      <c r="E125" s="647">
        <f>D125-$K43</f>
        <v>96</v>
      </c>
      <c r="F125" s="647">
        <f>E125-$K43</f>
        <v>94</v>
      </c>
      <c r="G125" s="647">
        <f>F125-$K43</f>
        <v>92</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t="str">
        <f>B44</f>
        <v>临海</v>
      </c>
      <c r="C126" s="3680" t="s">
        <v>3582</v>
      </c>
      <c r="D126" s="3680" t="s">
        <v>3581</v>
      </c>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v>105</v>
      </c>
      <c r="D127" s="639">
        <v>100</v>
      </c>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1620</v>
      </c>
      <c r="H138" s="1683" t="s">
        <v>1621</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1627</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F52 H52 J52">
    <cfRule type="containsText" dxfId="51" priority="18" stopIfTrue="1" operator="containsText" text="超过">
      <formula>NOT(ISERROR(SEARCH("超过",F52)))</formula>
    </cfRule>
  </conditionalFormatting>
  <conditionalFormatting sqref="J54">
    <cfRule type="containsText" dxfId="50" priority="17" stopIfTrue="1" operator="containsText" text="超过">
      <formula>NOT(ISERROR(SEARCH("超过",J54)))</formula>
    </cfRule>
  </conditionalFormatting>
  <conditionalFormatting sqref="H54">
    <cfRule type="containsText" dxfId="49" priority="16" stopIfTrue="1" operator="containsText" text="超过">
      <formula>NOT(ISERROR(SEARCH("超过",H54)))</formula>
    </cfRule>
  </conditionalFormatting>
  <conditionalFormatting sqref="F54">
    <cfRule type="containsText" dxfId="48" priority="15" stopIfTrue="1" operator="containsText" text="超过">
      <formula>NOT(ISERROR(SEARCH("超过",F54)))</formula>
    </cfRule>
  </conditionalFormatting>
  <conditionalFormatting sqref="F53 H53 J53">
    <cfRule type="containsText" dxfId="47" priority="14" stopIfTrue="1" operator="containsText" text="超过">
      <formula>NOT(ISERROR(SEARCH("超过",F53)))</formula>
    </cfRule>
  </conditionalFormatting>
  <conditionalFormatting sqref="E52">
    <cfRule type="expression" dxfId="46" priority="13" stopIfTrue="1">
      <formula>$F$52="超过30%"</formula>
    </cfRule>
  </conditionalFormatting>
  <conditionalFormatting sqref="G54">
    <cfRule type="expression" dxfId="45" priority="12" stopIfTrue="1">
      <formula>$H$54="超过30%"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2">
    <cfRule type="expression" dxfId="42" priority="9" stopIfTrue="1">
      <formula>$H$52="超过30%"</formula>
    </cfRule>
  </conditionalFormatting>
  <conditionalFormatting sqref="G53">
    <cfRule type="expression" dxfId="41" priority="8" stopIfTrue="1">
      <formula>$H$53="超过20%"</formula>
    </cfRule>
  </conditionalFormatting>
  <conditionalFormatting sqref="I52">
    <cfRule type="expression" dxfId="40" priority="7" stopIfTrue="1">
      <formula>$J$52="超过30%"</formula>
    </cfRule>
  </conditionalFormatting>
  <conditionalFormatting sqref="I53">
    <cfRule type="expression" dxfId="39" priority="6" stopIfTrue="1">
      <formula>$J$53="超过20%"</formula>
    </cfRule>
  </conditionalFormatting>
  <conditionalFormatting sqref="I54">
    <cfRule type="expression" dxfId="38" priority="5" stopIfTrue="1">
      <formula>$J$54="超过30%"</formula>
    </cfRule>
  </conditionalFormatting>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F7:F46 H7:H46 J7:J46">
    <cfRule type="cellIs" dxfId="34"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26" t="s">
        <v>471</v>
      </c>
      <c r="D4" s="3927"/>
      <c r="E4" s="3952" t="s">
        <v>472</v>
      </c>
      <c r="F4" s="3953"/>
      <c r="G4" s="3926" t="s">
        <v>473</v>
      </c>
      <c r="H4" s="3927"/>
      <c r="I4" s="3926" t="s">
        <v>474</v>
      </c>
      <c r="J4" s="3927"/>
      <c r="K4" s="484" t="s">
        <v>475</v>
      </c>
      <c r="L4" s="1855"/>
      <c r="M4" s="1856"/>
      <c r="N4" s="1856"/>
      <c r="O4" s="1856"/>
      <c r="P4" s="3928" t="s">
        <v>476</v>
      </c>
      <c r="Q4" s="3929"/>
      <c r="R4" s="3912" t="s">
        <v>472</v>
      </c>
      <c r="S4" s="3913"/>
      <c r="T4" s="3912" t="s">
        <v>473</v>
      </c>
      <c r="U4" s="3913"/>
      <c r="V4" s="3934" t="s">
        <v>474</v>
      </c>
      <c r="W4" s="3934"/>
      <c r="X4" s="1379"/>
      <c r="Y4" s="3912" t="s">
        <v>476</v>
      </c>
      <c r="Z4" s="3913"/>
      <c r="AA4" s="3907" t="s">
        <v>472</v>
      </c>
      <c r="AB4" s="3934" t="s">
        <v>473</v>
      </c>
      <c r="AC4" s="3907" t="s">
        <v>474</v>
      </c>
    </row>
    <row r="5" spans="1:29" ht="15">
      <c r="A5" s="485"/>
      <c r="B5" s="486"/>
      <c r="C5" s="3937" t="s">
        <v>2184</v>
      </c>
      <c r="D5" s="3938"/>
      <c r="E5" s="3954" t="s">
        <v>2185</v>
      </c>
      <c r="F5" s="3955"/>
      <c r="G5" s="3937" t="s">
        <v>2186</v>
      </c>
      <c r="H5" s="3938"/>
      <c r="I5" s="3937" t="s">
        <v>2187</v>
      </c>
      <c r="J5" s="3938"/>
      <c r="K5" s="484"/>
      <c r="L5" s="1855"/>
      <c r="M5" s="1856"/>
      <c r="N5" s="1856"/>
      <c r="O5" s="1856"/>
      <c r="P5" s="3930"/>
      <c r="Q5" s="3931"/>
      <c r="R5" s="3914"/>
      <c r="S5" s="3915"/>
      <c r="T5" s="3914"/>
      <c r="U5" s="3915"/>
      <c r="V5" s="3934"/>
      <c r="W5" s="3934"/>
      <c r="X5" s="1379"/>
      <c r="Y5" s="3914"/>
      <c r="Z5" s="3915"/>
      <c r="AA5" s="3908"/>
      <c r="AB5" s="3934"/>
      <c r="AC5" s="3908"/>
    </row>
    <row r="6" spans="1:29" ht="15.75" thickBot="1">
      <c r="A6" s="487"/>
      <c r="B6" s="488"/>
      <c r="C6" s="3935" t="s">
        <v>2188</v>
      </c>
      <c r="D6" s="3936"/>
      <c r="E6" s="3956" t="s">
        <v>2188</v>
      </c>
      <c r="F6" s="3957"/>
      <c r="G6" s="3935" t="s">
        <v>2188</v>
      </c>
      <c r="H6" s="3936"/>
      <c r="I6" s="3935" t="s">
        <v>2188</v>
      </c>
      <c r="J6" s="3936"/>
      <c r="K6" s="484" t="s">
        <v>477</v>
      </c>
      <c r="L6" s="1855"/>
      <c r="M6" s="1856"/>
      <c r="N6" s="1856"/>
      <c r="O6" s="1856"/>
      <c r="P6" s="3932"/>
      <c r="Q6" s="3933"/>
      <c r="R6" s="3914"/>
      <c r="S6" s="3915"/>
      <c r="T6" s="3916"/>
      <c r="U6" s="3917"/>
      <c r="V6" s="3934"/>
      <c r="W6" s="3934"/>
      <c r="X6" s="1379"/>
      <c r="Y6" s="3916"/>
      <c r="Z6" s="3917"/>
      <c r="AA6" s="3909"/>
      <c r="AB6" s="3934"/>
      <c r="AC6" s="3909"/>
    </row>
    <row r="7" spans="1:29" s="1117" customFormat="1" ht="15.75" thickBot="1">
      <c r="A7" s="2391"/>
      <c r="B7" s="2398" t="s">
        <v>478</v>
      </c>
      <c r="C7" s="489">
        <f>'数据-取费表'!B2</f>
        <v>45034</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10" t="s">
        <v>479</v>
      </c>
      <c r="Q7" s="3919"/>
      <c r="R7" s="1380" t="s">
        <v>5</v>
      </c>
      <c r="S7" s="1381">
        <f t="shared" ref="S7:S15" si="0">F7</f>
        <v>0</v>
      </c>
      <c r="T7" s="1380" t="s">
        <v>5</v>
      </c>
      <c r="U7" s="1381">
        <f t="shared" ref="U7:U15" si="1">H7</f>
        <v>0</v>
      </c>
      <c r="V7" s="1380" t="s">
        <v>5</v>
      </c>
      <c r="W7" s="1381">
        <f t="shared" ref="W7:W15" si="2">J7</f>
        <v>0</v>
      </c>
      <c r="X7" s="1382"/>
      <c r="Y7" s="3910" t="s">
        <v>479</v>
      </c>
      <c r="Z7" s="3911"/>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10" t="s">
        <v>482</v>
      </c>
      <c r="Q8" s="3911"/>
      <c r="R8" s="1380" t="s">
        <v>5</v>
      </c>
      <c r="S8" s="1381">
        <f t="shared" si="0"/>
        <v>0</v>
      </c>
      <c r="T8" s="1380" t="s">
        <v>5</v>
      </c>
      <c r="U8" s="1381">
        <f t="shared" si="1"/>
        <v>0</v>
      </c>
      <c r="V8" s="1380" t="s">
        <v>5</v>
      </c>
      <c r="W8" s="1381">
        <f t="shared" si="2"/>
        <v>0</v>
      </c>
      <c r="X8" s="1382"/>
      <c r="Y8" s="3910" t="s">
        <v>482</v>
      </c>
      <c r="Z8" s="3911"/>
      <c r="AA8" s="1383" t="e">
        <f t="shared" ref="AA8:AA46" si="3">D8/F8</f>
        <v>#DIV/0!</v>
      </c>
      <c r="AB8" s="1383" t="e">
        <f t="shared" ref="AB8:AB46" si="4">D8/H8</f>
        <v>#DIV/0!</v>
      </c>
      <c r="AC8" s="1383" t="e">
        <f t="shared" ref="AC8:AC46" si="5">D8/J8</f>
        <v>#DIV/0!</v>
      </c>
    </row>
    <row r="9" spans="1:29" s="1117" customFormat="1" ht="15">
      <c r="A9" s="2393"/>
      <c r="B9" s="2400" t="s">
        <v>2035</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18" t="s">
        <v>484</v>
      </c>
      <c r="Q9" s="1049" t="str">
        <f t="shared" ref="Q9:Q15" si="6">B9</f>
        <v>用途</v>
      </c>
      <c r="R9" s="1380" t="s">
        <v>5</v>
      </c>
      <c r="S9" s="1381">
        <f t="shared" si="0"/>
        <v>100</v>
      </c>
      <c r="T9" s="1380" t="s">
        <v>5</v>
      </c>
      <c r="U9" s="1381">
        <f t="shared" si="1"/>
        <v>100</v>
      </c>
      <c r="V9" s="1380" t="s">
        <v>5</v>
      </c>
      <c r="W9" s="1381">
        <f t="shared" si="2"/>
        <v>100</v>
      </c>
      <c r="X9" s="1382"/>
      <c r="Y9" s="3870" t="s">
        <v>485</v>
      </c>
      <c r="Z9" s="1048" t="str">
        <f t="shared" ref="Z9:Z15" si="7">Q9</f>
        <v>用途</v>
      </c>
      <c r="AA9" s="1383">
        <f t="shared" si="3"/>
        <v>1</v>
      </c>
      <c r="AB9" s="1383">
        <f t="shared" si="4"/>
        <v>1</v>
      </c>
      <c r="AC9" s="1383">
        <f t="shared" si="5"/>
        <v>1</v>
      </c>
    </row>
    <row r="10" spans="1:29" s="1198" customFormat="1" ht="27">
      <c r="A10" s="2394"/>
      <c r="B10" s="2399" t="s">
        <v>2036</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18"/>
      <c r="Q10" s="1049" t="str">
        <f t="shared" si="6"/>
        <v>土地使用年限（年）</v>
      </c>
      <c r="R10" s="1380" t="s">
        <v>5</v>
      </c>
      <c r="S10" s="1381">
        <f t="shared" si="0"/>
        <v>100</v>
      </c>
      <c r="T10" s="1380" t="s">
        <v>5</v>
      </c>
      <c r="U10" s="1381">
        <f t="shared" si="1"/>
        <v>100</v>
      </c>
      <c r="V10" s="1380" t="s">
        <v>5</v>
      </c>
      <c r="W10" s="1381">
        <f t="shared" si="2"/>
        <v>100</v>
      </c>
      <c r="X10" s="1382"/>
      <c r="Y10" s="3870"/>
      <c r="Z10" s="1048" t="str">
        <f t="shared" si="7"/>
        <v>土地使用年限（年）</v>
      </c>
      <c r="AA10" s="1383">
        <f t="shared" si="3"/>
        <v>1</v>
      </c>
      <c r="AB10" s="1383">
        <f t="shared" si="4"/>
        <v>1</v>
      </c>
      <c r="AC10" s="1383">
        <f t="shared" si="5"/>
        <v>1</v>
      </c>
    </row>
    <row r="11" spans="1:29" ht="15">
      <c r="A11" s="2395"/>
      <c r="B11" s="2399" t="s">
        <v>2037</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18"/>
      <c r="Q11" s="1049" t="str">
        <f t="shared" si="6"/>
        <v>容积率</v>
      </c>
      <c r="R11" s="1380" t="s">
        <v>5</v>
      </c>
      <c r="S11" s="1381" t="e">
        <f t="shared" si="0"/>
        <v>#N/A</v>
      </c>
      <c r="T11" s="1380" t="s">
        <v>5</v>
      </c>
      <c r="U11" s="1381" t="e">
        <f t="shared" si="1"/>
        <v>#N/A</v>
      </c>
      <c r="V11" s="1380" t="s">
        <v>5</v>
      </c>
      <c r="W11" s="1381" t="e">
        <f t="shared" si="2"/>
        <v>#N/A</v>
      </c>
      <c r="X11" s="1382"/>
      <c r="Y11" s="3870"/>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918"/>
      <c r="Q12" s="1049">
        <f t="shared" si="6"/>
        <v>111</v>
      </c>
      <c r="R12" s="1380" t="s">
        <v>5</v>
      </c>
      <c r="S12" s="1381">
        <f t="shared" si="0"/>
        <v>100</v>
      </c>
      <c r="T12" s="1380" t="s">
        <v>5</v>
      </c>
      <c r="U12" s="1381">
        <f t="shared" si="1"/>
        <v>100</v>
      </c>
      <c r="V12" s="1380" t="s">
        <v>5</v>
      </c>
      <c r="W12" s="1381">
        <f t="shared" si="2"/>
        <v>100</v>
      </c>
      <c r="X12" s="1382"/>
      <c r="Y12" s="3870"/>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918"/>
      <c r="Q13" s="1049">
        <f t="shared" si="6"/>
        <v>111</v>
      </c>
      <c r="R13" s="1380" t="s">
        <v>5</v>
      </c>
      <c r="S13" s="1381">
        <f t="shared" si="0"/>
        <v>100</v>
      </c>
      <c r="T13" s="1380" t="s">
        <v>5</v>
      </c>
      <c r="U13" s="1381">
        <f t="shared" si="1"/>
        <v>100</v>
      </c>
      <c r="V13" s="1380" t="s">
        <v>5</v>
      </c>
      <c r="W13" s="1381">
        <f t="shared" si="2"/>
        <v>100</v>
      </c>
      <c r="X13" s="1382"/>
      <c r="Y13" s="3870"/>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918"/>
      <c r="Q14" s="1049">
        <f t="shared" si="6"/>
        <v>111</v>
      </c>
      <c r="R14" s="1380" t="s">
        <v>5</v>
      </c>
      <c r="S14" s="1381">
        <f t="shared" si="0"/>
        <v>100</v>
      </c>
      <c r="T14" s="1380" t="s">
        <v>5</v>
      </c>
      <c r="U14" s="1381">
        <f t="shared" si="1"/>
        <v>100</v>
      </c>
      <c r="V14" s="1380" t="s">
        <v>5</v>
      </c>
      <c r="W14" s="1381">
        <f t="shared" si="2"/>
        <v>100</v>
      </c>
      <c r="X14" s="1382"/>
      <c r="Y14" s="3870"/>
      <c r="Z14" s="1048">
        <f t="shared" si="7"/>
        <v>111</v>
      </c>
      <c r="AA14" s="1383">
        <f t="shared" si="3"/>
        <v>1</v>
      </c>
      <c r="AB14" s="1383">
        <f t="shared" si="4"/>
        <v>1</v>
      </c>
      <c r="AC14" s="1383">
        <f t="shared" si="5"/>
        <v>1</v>
      </c>
    </row>
    <row r="15" spans="1:29" ht="15">
      <c r="A15" s="2389" t="s">
        <v>2033</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920" t="s">
        <v>489</v>
      </c>
      <c r="Q15" s="1384" t="str">
        <f t="shared" si="6"/>
        <v>商业繁华度</v>
      </c>
      <c r="R15" s="1385" t="s">
        <v>5</v>
      </c>
      <c r="S15" s="1386">
        <f t="shared" si="0"/>
        <v>100</v>
      </c>
      <c r="T15" s="1385" t="s">
        <v>5</v>
      </c>
      <c r="U15" s="1386">
        <f t="shared" si="1"/>
        <v>100</v>
      </c>
      <c r="V15" s="1385" t="s">
        <v>5</v>
      </c>
      <c r="W15" s="1386">
        <f t="shared" si="2"/>
        <v>100</v>
      </c>
      <c r="X15" s="1379"/>
      <c r="Y15" s="3920"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921"/>
      <c r="Q16" s="1384"/>
      <c r="R16" s="1385"/>
      <c r="S16" s="1386"/>
      <c r="T16" s="1385"/>
      <c r="U16" s="1386"/>
      <c r="V16" s="1385"/>
      <c r="W16" s="1386"/>
      <c r="X16" s="1379"/>
      <c r="Y16" s="3921"/>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921"/>
      <c r="Q17" s="1384" t="str">
        <f>B17</f>
        <v>交通便捷度</v>
      </c>
      <c r="R17" s="1385" t="s">
        <v>5</v>
      </c>
      <c r="S17" s="1386">
        <f>F17</f>
        <v>100</v>
      </c>
      <c r="T17" s="1385" t="s">
        <v>5</v>
      </c>
      <c r="U17" s="1386">
        <f>H17</f>
        <v>100</v>
      </c>
      <c r="V17" s="1385" t="s">
        <v>5</v>
      </c>
      <c r="W17" s="1386">
        <f>J17</f>
        <v>100</v>
      </c>
      <c r="X17" s="1379"/>
      <c r="Y17" s="392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921"/>
      <c r="Q18" s="1384"/>
      <c r="R18" s="1385"/>
      <c r="S18" s="1386"/>
      <c r="T18" s="1385"/>
      <c r="U18" s="1386"/>
      <c r="V18" s="1385"/>
      <c r="W18" s="1386"/>
      <c r="X18" s="1379"/>
      <c r="Y18" s="3921"/>
      <c r="Z18" s="1387"/>
      <c r="AA18" s="1388">
        <v>1</v>
      </c>
      <c r="AB18" s="1388">
        <v>1</v>
      </c>
      <c r="AC18" s="1388">
        <v>1</v>
      </c>
    </row>
    <row r="19" spans="1:29" ht="15">
      <c r="A19" s="502"/>
      <c r="B19" s="2207" t="s">
        <v>1826</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921"/>
      <c r="Q19" s="1384" t="str">
        <f>B19</f>
        <v>公共配套设施</v>
      </c>
      <c r="R19" s="1385" t="s">
        <v>5</v>
      </c>
      <c r="S19" s="1386">
        <f>F19</f>
        <v>100</v>
      </c>
      <c r="T19" s="1385" t="s">
        <v>5</v>
      </c>
      <c r="U19" s="1386">
        <f>H19</f>
        <v>100</v>
      </c>
      <c r="V19" s="1385" t="s">
        <v>5</v>
      </c>
      <c r="W19" s="1386">
        <f>J19</f>
        <v>100</v>
      </c>
      <c r="X19" s="1379"/>
      <c r="Y19" s="392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921"/>
      <c r="Q20" s="1384"/>
      <c r="R20" s="1385"/>
      <c r="S20" s="1386"/>
      <c r="T20" s="1385"/>
      <c r="U20" s="1386"/>
      <c r="V20" s="1385"/>
      <c r="W20" s="1386"/>
      <c r="X20" s="1379"/>
      <c r="Y20" s="3921"/>
      <c r="Z20" s="1387"/>
      <c r="AA20" s="1388">
        <v>1</v>
      </c>
      <c r="AB20" s="1388">
        <v>1</v>
      </c>
      <c r="AC20" s="1388">
        <v>1</v>
      </c>
    </row>
    <row r="21" spans="1:29" ht="15">
      <c r="A21" s="502"/>
      <c r="B21" s="2200" t="s">
        <v>1838</v>
      </c>
      <c r="C21" s="835" t="str">
        <f>估价对象房地状况!C8</f>
        <v>六通</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921"/>
      <c r="Q21" s="2192" t="str">
        <f>B21</f>
        <v>基础设施水平</v>
      </c>
      <c r="R21" s="1385" t="s">
        <v>5</v>
      </c>
      <c r="S21" s="1386">
        <f>F21</f>
        <v>100</v>
      </c>
      <c r="T21" s="1385" t="s">
        <v>5</v>
      </c>
      <c r="U21" s="1386">
        <f>H21</f>
        <v>100</v>
      </c>
      <c r="V21" s="1385" t="s">
        <v>5</v>
      </c>
      <c r="W21" s="1386">
        <f>J21</f>
        <v>100</v>
      </c>
      <c r="X21" s="2194"/>
      <c r="Y21" s="3921"/>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921"/>
      <c r="Q22" s="2192"/>
      <c r="R22" s="1385"/>
      <c r="S22" s="1386"/>
      <c r="T22" s="1385"/>
      <c r="U22" s="1386"/>
      <c r="V22" s="1385"/>
      <c r="W22" s="1386"/>
      <c r="X22" s="2194"/>
      <c r="Y22" s="3921"/>
      <c r="Z22" s="2193"/>
      <c r="AA22" s="1388">
        <v>1</v>
      </c>
      <c r="AB22" s="1388">
        <v>1</v>
      </c>
      <c r="AC22" s="1388">
        <v>1</v>
      </c>
    </row>
    <row r="23" spans="1:29" ht="15">
      <c r="A23" s="502"/>
      <c r="B23" s="834" t="s">
        <v>263</v>
      </c>
      <c r="C23" s="862"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921"/>
      <c r="Q23" s="1384" t="str">
        <f>B23</f>
        <v>自然及人文环境</v>
      </c>
      <c r="R23" s="1385" t="s">
        <v>5</v>
      </c>
      <c r="S23" s="1386">
        <f>F23</f>
        <v>100</v>
      </c>
      <c r="T23" s="1385" t="s">
        <v>5</v>
      </c>
      <c r="U23" s="1386">
        <f>H23</f>
        <v>100</v>
      </c>
      <c r="V23" s="1385" t="s">
        <v>5</v>
      </c>
      <c r="W23" s="1386">
        <f>J23</f>
        <v>100</v>
      </c>
      <c r="X23" s="1379"/>
      <c r="Y23" s="392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921"/>
      <c r="Q24" s="1384"/>
      <c r="R24" s="1385"/>
      <c r="S24" s="1386"/>
      <c r="T24" s="1385"/>
      <c r="U24" s="1386"/>
      <c r="V24" s="1385"/>
      <c r="W24" s="1386"/>
      <c r="X24" s="1379"/>
      <c r="Y24" s="3921"/>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21"/>
      <c r="Q25" s="1384" t="str">
        <f t="shared" ref="Q25:Q46" si="8">B25</f>
        <v>临街状况</v>
      </c>
      <c r="R25" s="1385" t="s">
        <v>5</v>
      </c>
      <c r="S25" s="1386">
        <f>F25</f>
        <v>100</v>
      </c>
      <c r="T25" s="1385" t="s">
        <v>5</v>
      </c>
      <c r="U25" s="1386">
        <f>H25</f>
        <v>100</v>
      </c>
      <c r="V25" s="1385" t="s">
        <v>5</v>
      </c>
      <c r="W25" s="1386">
        <f>J25</f>
        <v>100</v>
      </c>
      <c r="X25" s="1379"/>
      <c r="Y25" s="3921"/>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21"/>
      <c r="Q26" s="1384" t="str">
        <f t="shared" si="8"/>
        <v>平面位置/可视性</v>
      </c>
      <c r="R26" s="1385" t="s">
        <v>5</v>
      </c>
      <c r="S26" s="1386">
        <f>F26</f>
        <v>100</v>
      </c>
      <c r="T26" s="1385" t="s">
        <v>5</v>
      </c>
      <c r="U26" s="1386">
        <f>H26</f>
        <v>100</v>
      </c>
      <c r="V26" s="1385" t="s">
        <v>5</v>
      </c>
      <c r="W26" s="1386">
        <f>J26</f>
        <v>100</v>
      </c>
      <c r="X26" s="1379"/>
      <c r="Y26" s="3921"/>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921"/>
      <c r="Q27" s="1049" t="str">
        <f t="shared" si="8"/>
        <v>人流量</v>
      </c>
      <c r="R27" s="1380" t="s">
        <v>5</v>
      </c>
      <c r="S27" s="1381">
        <f>F27</f>
        <v>100</v>
      </c>
      <c r="T27" s="1380" t="s">
        <v>5</v>
      </c>
      <c r="U27" s="1381">
        <f>H27</f>
        <v>100</v>
      </c>
      <c r="V27" s="1380" t="s">
        <v>5</v>
      </c>
      <c r="W27" s="1381">
        <f>J27</f>
        <v>100</v>
      </c>
      <c r="X27" s="1382"/>
      <c r="Y27" s="3921"/>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21"/>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21"/>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21"/>
      <c r="Q29" s="1384">
        <f t="shared" si="8"/>
        <v>111</v>
      </c>
      <c r="R29" s="1385" t="s">
        <v>5</v>
      </c>
      <c r="S29" s="1386">
        <f t="shared" si="9"/>
        <v>100</v>
      </c>
      <c r="T29" s="1385" t="s">
        <v>5</v>
      </c>
      <c r="U29" s="1386">
        <f t="shared" si="10"/>
        <v>100</v>
      </c>
      <c r="V29" s="1385" t="s">
        <v>5</v>
      </c>
      <c r="W29" s="1386">
        <f t="shared" si="11"/>
        <v>100</v>
      </c>
      <c r="X29" s="1379"/>
      <c r="Y29" s="392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21"/>
      <c r="Q30" s="1384">
        <f t="shared" si="8"/>
        <v>111</v>
      </c>
      <c r="R30" s="1385" t="s">
        <v>5</v>
      </c>
      <c r="S30" s="1386">
        <f t="shared" si="9"/>
        <v>100</v>
      </c>
      <c r="T30" s="1385" t="s">
        <v>5</v>
      </c>
      <c r="U30" s="1386">
        <f t="shared" si="10"/>
        <v>100</v>
      </c>
      <c r="V30" s="1385" t="s">
        <v>5</v>
      </c>
      <c r="W30" s="1386">
        <f t="shared" si="11"/>
        <v>100</v>
      </c>
      <c r="X30" s="1379"/>
      <c r="Y30" s="3921"/>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21"/>
      <c r="Q31" s="1384">
        <f t="shared" si="8"/>
        <v>111</v>
      </c>
      <c r="R31" s="1385" t="s">
        <v>5</v>
      </c>
      <c r="S31" s="1386">
        <f t="shared" si="9"/>
        <v>100</v>
      </c>
      <c r="T31" s="1385" t="s">
        <v>5</v>
      </c>
      <c r="U31" s="1386">
        <f t="shared" si="10"/>
        <v>100</v>
      </c>
      <c r="V31" s="1385" t="s">
        <v>5</v>
      </c>
      <c r="W31" s="1386">
        <f t="shared" si="11"/>
        <v>100</v>
      </c>
      <c r="X31" s="1379"/>
      <c r="Y31" s="3921"/>
      <c r="Z31" s="1387">
        <f t="shared" si="12"/>
        <v>111</v>
      </c>
      <c r="AA31" s="1388">
        <f t="shared" si="3"/>
        <v>1</v>
      </c>
      <c r="AB31" s="1388">
        <f t="shared" si="4"/>
        <v>1</v>
      </c>
      <c r="AC31" s="1388">
        <f t="shared" si="5"/>
        <v>1</v>
      </c>
    </row>
    <row r="32" spans="1:29" ht="15">
      <c r="A32" s="2386" t="s">
        <v>2034</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22" t="s">
        <v>499</v>
      </c>
      <c r="Q32" s="1384" t="str">
        <f t="shared" si="8"/>
        <v>商业类型</v>
      </c>
      <c r="R32" s="1385" t="s">
        <v>5</v>
      </c>
      <c r="S32" s="1386">
        <f t="shared" si="9"/>
        <v>100</v>
      </c>
      <c r="T32" s="1385" t="s">
        <v>5</v>
      </c>
      <c r="U32" s="1386">
        <f t="shared" si="10"/>
        <v>100</v>
      </c>
      <c r="V32" s="1385" t="s">
        <v>5</v>
      </c>
      <c r="W32" s="1386">
        <f t="shared" si="11"/>
        <v>100</v>
      </c>
      <c r="X32" s="1379"/>
      <c r="Y32" s="3923"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23"/>
      <c r="Q33" s="1413" t="str">
        <f t="shared" si="8"/>
        <v>项目建筑规模</v>
      </c>
      <c r="R33" s="1389" t="s">
        <v>5</v>
      </c>
      <c r="S33" s="1390" t="e">
        <f t="shared" si="9"/>
        <v>#N/A</v>
      </c>
      <c r="T33" s="1389" t="s">
        <v>5</v>
      </c>
      <c r="U33" s="1390" t="e">
        <f t="shared" si="10"/>
        <v>#N/A</v>
      </c>
      <c r="V33" s="1389" t="s">
        <v>5</v>
      </c>
      <c r="W33" s="1390" t="e">
        <f t="shared" si="11"/>
        <v>#N/A</v>
      </c>
      <c r="X33" s="1391"/>
      <c r="Y33" s="3923"/>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923"/>
      <c r="Q34" s="1384" t="str">
        <f t="shared" si="8"/>
        <v>建筑结构</v>
      </c>
      <c r="R34" s="1385" t="s">
        <v>5</v>
      </c>
      <c r="S34" s="1386">
        <f t="shared" si="9"/>
        <v>100</v>
      </c>
      <c r="T34" s="1385" t="s">
        <v>5</v>
      </c>
      <c r="U34" s="1386">
        <f t="shared" si="10"/>
        <v>100</v>
      </c>
      <c r="V34" s="1385" t="s">
        <v>5</v>
      </c>
      <c r="W34" s="1386">
        <f t="shared" si="11"/>
        <v>100</v>
      </c>
      <c r="X34" s="1379"/>
      <c r="Y34" s="3923"/>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23"/>
      <c r="Q35" s="1384" t="str">
        <f t="shared" si="8"/>
        <v>公共部分装修</v>
      </c>
      <c r="R35" s="1385" t="s">
        <v>5</v>
      </c>
      <c r="S35" s="1386">
        <f t="shared" si="9"/>
        <v>100</v>
      </c>
      <c r="T35" s="1385" t="s">
        <v>5</v>
      </c>
      <c r="U35" s="1386">
        <f t="shared" si="10"/>
        <v>100</v>
      </c>
      <c r="V35" s="1385" t="s">
        <v>5</v>
      </c>
      <c r="W35" s="1386">
        <f t="shared" si="11"/>
        <v>100</v>
      </c>
      <c r="X35" s="1379"/>
      <c r="Y35" s="3923"/>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923"/>
      <c r="Q36" s="1384" t="str">
        <f t="shared" si="8"/>
        <v>成新度</v>
      </c>
      <c r="R36" s="1385" t="s">
        <v>5</v>
      </c>
      <c r="S36" s="1386" t="e">
        <f t="shared" si="9"/>
        <v>#N/A</v>
      </c>
      <c r="T36" s="1385" t="s">
        <v>5</v>
      </c>
      <c r="U36" s="1386" t="e">
        <f t="shared" si="10"/>
        <v>#N/A</v>
      </c>
      <c r="V36" s="1385" t="s">
        <v>5</v>
      </c>
      <c r="W36" s="1386" t="e">
        <f t="shared" si="11"/>
        <v>#N/A</v>
      </c>
      <c r="X36" s="1379"/>
      <c r="Y36" s="3923"/>
      <c r="Z36" s="1387" t="str">
        <f t="shared" si="12"/>
        <v>成新度</v>
      </c>
      <c r="AA36" s="1388" t="e">
        <f t="shared" si="3"/>
        <v>#N/A</v>
      </c>
      <c r="AB36" s="1388" t="e">
        <f t="shared" si="4"/>
        <v>#N/A</v>
      </c>
      <c r="AC36" s="1388" t="e">
        <f t="shared" si="5"/>
        <v>#N/A</v>
      </c>
    </row>
    <row r="37" spans="1:29" s="1117" customFormat="1" ht="15">
      <c r="A37" s="570"/>
      <c r="B37" s="1650" t="s">
        <v>1845</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23"/>
      <c r="Q37" s="1049" t="str">
        <f t="shared" si="8"/>
        <v>市政基础设施</v>
      </c>
      <c r="R37" s="1380" t="s">
        <v>5</v>
      </c>
      <c r="S37" s="1381">
        <f t="shared" si="9"/>
        <v>100</v>
      </c>
      <c r="T37" s="1380" t="s">
        <v>5</v>
      </c>
      <c r="U37" s="1381">
        <f t="shared" si="10"/>
        <v>100</v>
      </c>
      <c r="V37" s="1380" t="s">
        <v>5</v>
      </c>
      <c r="W37" s="1381">
        <f t="shared" si="11"/>
        <v>100</v>
      </c>
      <c r="X37" s="1382"/>
      <c r="Y37" s="3923"/>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23" t="s">
        <v>706</v>
      </c>
      <c r="Q38" s="1384" t="str">
        <f t="shared" si="8"/>
        <v>业态</v>
      </c>
      <c r="R38" s="1385" t="s">
        <v>5</v>
      </c>
      <c r="S38" s="1386">
        <f t="shared" si="9"/>
        <v>100</v>
      </c>
      <c r="T38" s="1385" t="s">
        <v>5</v>
      </c>
      <c r="U38" s="1386">
        <f t="shared" si="10"/>
        <v>100</v>
      </c>
      <c r="V38" s="1385" t="s">
        <v>5</v>
      </c>
      <c r="W38" s="1386">
        <f t="shared" si="11"/>
        <v>100</v>
      </c>
      <c r="X38" s="1379"/>
      <c r="Y38" s="3923"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23"/>
      <c r="Q39" s="1384" t="str">
        <f t="shared" si="8"/>
        <v>层高</v>
      </c>
      <c r="R39" s="1385" t="s">
        <v>5</v>
      </c>
      <c r="S39" s="1386">
        <f t="shared" si="9"/>
        <v>100</v>
      </c>
      <c r="T39" s="1385" t="s">
        <v>5</v>
      </c>
      <c r="U39" s="1386">
        <f t="shared" si="10"/>
        <v>100</v>
      </c>
      <c r="V39" s="1385" t="s">
        <v>5</v>
      </c>
      <c r="W39" s="1386">
        <f t="shared" si="11"/>
        <v>100</v>
      </c>
      <c r="X39" s="1379"/>
      <c r="Y39" s="3923"/>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923"/>
      <c r="Q40" s="1384" t="str">
        <f t="shared" si="8"/>
        <v>单套建筑面积</v>
      </c>
      <c r="R40" s="1385" t="s">
        <v>5</v>
      </c>
      <c r="S40" s="1386">
        <f t="shared" si="9"/>
        <v>100</v>
      </c>
      <c r="T40" s="1385" t="s">
        <v>5</v>
      </c>
      <c r="U40" s="1386">
        <f t="shared" si="10"/>
        <v>100</v>
      </c>
      <c r="V40" s="1385" t="s">
        <v>5</v>
      </c>
      <c r="W40" s="1386">
        <f t="shared" si="11"/>
        <v>100</v>
      </c>
      <c r="X40" s="1379"/>
      <c r="Y40" s="3923"/>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23"/>
      <c r="Q41" s="1413" t="str">
        <f t="shared" si="8"/>
        <v>进深比</v>
      </c>
      <c r="R41" s="1389" t="s">
        <v>5</v>
      </c>
      <c r="S41" s="1390">
        <f t="shared" si="9"/>
        <v>100</v>
      </c>
      <c r="T41" s="1389" t="s">
        <v>5</v>
      </c>
      <c r="U41" s="1390">
        <f t="shared" si="10"/>
        <v>100</v>
      </c>
      <c r="V41" s="1389" t="s">
        <v>5</v>
      </c>
      <c r="W41" s="1390">
        <f t="shared" si="11"/>
        <v>100</v>
      </c>
      <c r="X41" s="1391"/>
      <c r="Y41" s="3923"/>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23"/>
      <c r="Q42" s="1384" t="str">
        <f t="shared" si="8"/>
        <v>内部装修</v>
      </c>
      <c r="R42" s="1385" t="s">
        <v>5</v>
      </c>
      <c r="S42" s="1386">
        <f t="shared" si="9"/>
        <v>100</v>
      </c>
      <c r="T42" s="1385" t="s">
        <v>5</v>
      </c>
      <c r="U42" s="1386">
        <f t="shared" si="10"/>
        <v>100</v>
      </c>
      <c r="V42" s="1385" t="s">
        <v>5</v>
      </c>
      <c r="W42" s="1386">
        <f t="shared" si="11"/>
        <v>100</v>
      </c>
      <c r="X42" s="1379"/>
      <c r="Y42" s="3923"/>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23"/>
      <c r="Q43" s="1384" t="str">
        <f t="shared" si="8"/>
        <v>内部装修维护情况</v>
      </c>
      <c r="R43" s="1385" t="s">
        <v>5</v>
      </c>
      <c r="S43" s="1386">
        <f t="shared" si="9"/>
        <v>100</v>
      </c>
      <c r="T43" s="1385" t="s">
        <v>5</v>
      </c>
      <c r="U43" s="1386">
        <f t="shared" si="10"/>
        <v>100</v>
      </c>
      <c r="V43" s="1385" t="s">
        <v>5</v>
      </c>
      <c r="W43" s="1386">
        <f t="shared" si="11"/>
        <v>100</v>
      </c>
      <c r="X43" s="1379"/>
      <c r="Y43" s="3923"/>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23"/>
      <c r="Q44" s="1049">
        <f t="shared" si="8"/>
        <v>111</v>
      </c>
      <c r="R44" s="1380" t="s">
        <v>5</v>
      </c>
      <c r="S44" s="1381">
        <f t="shared" si="9"/>
        <v>100</v>
      </c>
      <c r="T44" s="1380" t="s">
        <v>5</v>
      </c>
      <c r="U44" s="1381">
        <f t="shared" si="10"/>
        <v>100</v>
      </c>
      <c r="V44" s="1380" t="s">
        <v>5</v>
      </c>
      <c r="W44" s="1381">
        <f t="shared" si="11"/>
        <v>100</v>
      </c>
      <c r="X44" s="1382"/>
      <c r="Y44" s="3923"/>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23"/>
      <c r="Q45" s="1384">
        <f t="shared" si="8"/>
        <v>111</v>
      </c>
      <c r="R45" s="1385" t="s">
        <v>5</v>
      </c>
      <c r="S45" s="1386">
        <f t="shared" si="9"/>
        <v>100</v>
      </c>
      <c r="T45" s="1385" t="s">
        <v>5</v>
      </c>
      <c r="U45" s="1386">
        <f t="shared" si="10"/>
        <v>100</v>
      </c>
      <c r="V45" s="1385" t="s">
        <v>5</v>
      </c>
      <c r="W45" s="1386">
        <f t="shared" si="11"/>
        <v>100</v>
      </c>
      <c r="X45" s="1379"/>
      <c r="Y45" s="3923"/>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35"/>
      <c r="Q46" s="1384">
        <f t="shared" si="8"/>
        <v>111</v>
      </c>
      <c r="R46" s="1385" t="s">
        <v>5</v>
      </c>
      <c r="S46" s="1386">
        <f t="shared" si="9"/>
        <v>100</v>
      </c>
      <c r="T46" s="1385" t="s">
        <v>5</v>
      </c>
      <c r="U46" s="1386">
        <f t="shared" si="10"/>
        <v>100</v>
      </c>
      <c r="V46" s="1385" t="s">
        <v>5</v>
      </c>
      <c r="W46" s="1386">
        <f t="shared" si="11"/>
        <v>100</v>
      </c>
      <c r="X46" s="1379"/>
      <c r="Y46" s="4035"/>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918" t="str">
        <f>A47</f>
        <v>成交单价（元/平方米）</v>
      </c>
      <c r="Q47" s="3918"/>
      <c r="R47" s="4034">
        <f>E47</f>
        <v>0</v>
      </c>
      <c r="S47" s="4034"/>
      <c r="T47" s="4034">
        <f>G47</f>
        <v>0</v>
      </c>
      <c r="U47" s="4034"/>
      <c r="V47" s="4034">
        <f>I47</f>
        <v>0</v>
      </c>
      <c r="W47" s="4034"/>
      <c r="X47" s="1374"/>
      <c r="Y47" s="1393"/>
      <c r="Z47" s="1374"/>
      <c r="AA47" s="1374"/>
      <c r="AB47" s="1374"/>
      <c r="AC47" s="1374"/>
    </row>
    <row r="48" spans="1:29" ht="15.75" thickBot="1">
      <c r="A48" s="585" t="s">
        <v>2039</v>
      </c>
      <c r="B48" s="850"/>
      <c r="C48" s="2239" t="e">
        <f>R49</f>
        <v>#DIV/0!</v>
      </c>
      <c r="D48" s="2756" t="s">
        <v>2253</v>
      </c>
      <c r="E48" s="2240" t="e">
        <f>R48</f>
        <v>#DIV/0!</v>
      </c>
      <c r="F48" s="2757"/>
      <c r="G48" s="2239" t="e">
        <f>T48</f>
        <v>#DIV/0!</v>
      </c>
      <c r="H48" s="2757"/>
      <c r="I48" s="2240" t="e">
        <f>V48</f>
        <v>#DIV/0!</v>
      </c>
      <c r="J48" s="2757"/>
      <c r="K48" s="2765">
        <f>F48+H48+J48</f>
        <v>0</v>
      </c>
      <c r="L48" s="1866"/>
      <c r="M48" s="1867"/>
      <c r="N48" s="1856"/>
      <c r="O48" s="1867"/>
      <c r="P48" s="3918" t="str">
        <f>A48</f>
        <v>比较价格（元/平方米）</v>
      </c>
      <c r="Q48" s="3918"/>
      <c r="R48" s="4034" t="e">
        <f>IF(F1="售价",ROUND(PRODUCT(R47,AA7:AA46),0),ROUND(PRODUCT(R47,AA7:AA46),1))</f>
        <v>#DIV/0!</v>
      </c>
      <c r="S48" s="4034"/>
      <c r="T48" s="4034" t="e">
        <f>IF(F1="售价",ROUND(PRODUCT(T47,AB7:AB46),0),ROUND(PRODUCT(T47,AB7:AB46),1))</f>
        <v>#DIV/0!</v>
      </c>
      <c r="U48" s="4034"/>
      <c r="V48" s="4034" t="e">
        <f>IF(F1="售价",ROUND(PRODUCT(V47,AC7:AC46),0),ROUND(PRODUCT(V47,AC7:AC46),1))</f>
        <v>#DIV/0!</v>
      </c>
      <c r="W48" s="4034"/>
      <c r="X48" s="1374"/>
      <c r="Y48" s="1374"/>
      <c r="Z48" s="1374"/>
      <c r="AA48" s="1374"/>
      <c r="AB48" s="1374"/>
      <c r="AC48" s="1374"/>
    </row>
    <row r="49" spans="1:29" ht="15.75" thickBot="1">
      <c r="A49" s="589" t="s">
        <v>2190</v>
      </c>
      <c r="B49" s="590"/>
      <c r="C49" s="2241" t="e">
        <f>R49</f>
        <v>#DIV/0!</v>
      </c>
      <c r="D49" s="2241"/>
      <c r="E49" s="2241"/>
      <c r="F49" s="2241"/>
      <c r="G49" s="2241"/>
      <c r="H49" s="2241"/>
      <c r="I49" s="2241"/>
      <c r="J49" s="2241"/>
      <c r="K49" s="1419"/>
      <c r="L49" s="1866"/>
      <c r="M49" s="1867"/>
      <c r="N49" s="1856"/>
      <c r="O49" s="1867"/>
      <c r="P49" s="3924" t="str">
        <f>A49</f>
        <v>估价对象XX用房的比较价格（楼面单价，元/平方米）</v>
      </c>
      <c r="Q49" s="3925"/>
      <c r="R49" s="4033" t="e">
        <f>IF(F1="售价",ROUND(IF(D48="简单平均",AVERAGE(R48:V48),R48*F48+T48*H48+V48*J48),0),ROUND(IF(D48="简单平均",AVERAGE(R48:V48),R48*F48+T48*H48+V48*J48),1))</f>
        <v>#DIV/0!</v>
      </c>
      <c r="S49" s="4033"/>
      <c r="T49" s="4033"/>
      <c r="U49" s="4033"/>
      <c r="V49" s="4033"/>
      <c r="W49" s="4033"/>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1837</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1838</v>
      </c>
      <c r="C82" s="2205" t="s">
        <v>1839</v>
      </c>
      <c r="D82" s="2205" t="s">
        <v>1840</v>
      </c>
      <c r="E82" s="2205" t="s">
        <v>1841</v>
      </c>
      <c r="F82" s="2205" t="s">
        <v>1842</v>
      </c>
      <c r="G82" s="2205" t="s">
        <v>1843</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1836</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33" priority="21" stopIfTrue="1" operator="containsText" text="超过">
      <formula>NOT(ISERROR(SEARCH("超过",F52)))</formula>
    </cfRule>
  </conditionalFormatting>
  <conditionalFormatting sqref="H54">
    <cfRule type="containsText" dxfId="32" priority="19" stopIfTrue="1" operator="containsText" text="超过">
      <formula>NOT(ISERROR(SEARCH("超过",H54)))</formula>
    </cfRule>
  </conditionalFormatting>
  <conditionalFormatting sqref="F54">
    <cfRule type="containsText" dxfId="31" priority="18" stopIfTrue="1" operator="containsText" text="超过">
      <formula>NOT(ISERROR(SEARCH("超过",F54)))</formula>
    </cfRule>
  </conditionalFormatting>
  <conditionalFormatting sqref="F53 H53">
    <cfRule type="containsText" dxfId="30" priority="17" stopIfTrue="1" operator="containsText" text="超过">
      <formula>NOT(ISERROR(SEARCH("超过",F53)))</formula>
    </cfRule>
  </conditionalFormatting>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G54">
    <cfRule type="expression" dxfId="26" priority="13" stopIfTrue="1">
      <formula>$H$54="超过30%"</formula>
    </cfRule>
  </conditionalFormatting>
  <conditionalFormatting sqref="G52">
    <cfRule type="expression" dxfId="25" priority="12" stopIfTrue="1">
      <formula>$H$52="超过30%"</formula>
    </cfRule>
  </conditionalFormatting>
  <conditionalFormatting sqref="G53">
    <cfRule type="expression" dxfId="24" priority="11" stopIfTrue="1">
      <formula>$H$53="超过20%"</formula>
    </cfRule>
  </conditionalFormatting>
  <conditionalFormatting sqref="J52">
    <cfRule type="containsText" dxfId="23" priority="10" stopIfTrue="1" operator="containsText" text="超过">
      <formula>NOT(ISERROR(SEARCH("超过",J52)))</formula>
    </cfRule>
  </conditionalFormatting>
  <conditionalFormatting sqref="J54">
    <cfRule type="containsText" dxfId="22" priority="9" stopIfTrue="1" operator="containsText" text="超过">
      <formula>NOT(ISERROR(SEARCH("超过",J54)))</formula>
    </cfRule>
  </conditionalFormatting>
  <conditionalFormatting sqref="J53">
    <cfRule type="containsText" dxfId="21" priority="8" stopIfTrue="1" operator="containsText" text="超过">
      <formula>NOT(ISERROR(SEARCH("超过",J53)))</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F48">
    <cfRule type="expression" dxfId="17" priority="4">
      <formula>$D$48="简单平均"</formula>
    </cfRule>
  </conditionalFormatting>
  <conditionalFormatting sqref="H48">
    <cfRule type="expression" dxfId="16" priority="3">
      <formula>$D$48="简单平均"</formula>
    </cfRule>
  </conditionalFormatting>
  <conditionalFormatting sqref="J48">
    <cfRule type="expression" dxfId="15" priority="2">
      <formula>$D$48="简单平均"</formula>
    </cfRule>
  </conditionalFormatting>
  <conditionalFormatting sqref="F7:F46 H7:H46 J7:J46">
    <cfRule type="cellIs" dxfId="1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0" zoomScaleNormal="60" zoomScaleSheetLayoutView="80" workbookViewId="0">
      <selection activeCell="F35" sqref="F35"/>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2733</v>
      </c>
      <c r="D1" s="2552" t="s">
        <v>3486</v>
      </c>
      <c r="E1" s="2078" t="s">
        <v>1725</v>
      </c>
      <c r="F1" s="2079">
        <f ca="1">J53</f>
        <v>33.92</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27968</v>
      </c>
      <c r="C2" s="3004"/>
      <c r="D2" s="3005"/>
      <c r="E2" s="3006"/>
      <c r="F2" s="3006"/>
      <c r="G2" s="3000"/>
      <c r="H2" s="1780"/>
      <c r="I2" s="1780"/>
      <c r="J2" s="1780"/>
      <c r="K2" s="1781"/>
      <c r="L2" s="1780"/>
      <c r="M2" s="1780"/>
    </row>
    <row r="3" spans="1:33" ht="18" customHeight="1" thickBot="1">
      <c r="A3" s="798" t="s">
        <v>1256</v>
      </c>
      <c r="B3" s="799">
        <f ca="1">IF(ISERROR(B2*10000/F43),0,ROUND(B2*10000/F43,0))</f>
        <v>25131</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1799</v>
      </c>
      <c r="C5" s="53">
        <f ca="1">C6+C10+C12</f>
        <v>1684</v>
      </c>
      <c r="D5" s="2142" t="s">
        <v>1802</v>
      </c>
      <c r="E5" s="2136"/>
      <c r="F5" s="2137"/>
      <c r="G5" s="1785"/>
      <c r="H5" s="747">
        <v>1</v>
      </c>
      <c r="I5" s="748" t="s">
        <v>1799</v>
      </c>
      <c r="J5" s="53">
        <f ca="1">J6+J10+J12</f>
        <v>0</v>
      </c>
      <c r="K5" s="2142" t="s">
        <v>1802</v>
      </c>
      <c r="L5" s="2136"/>
      <c r="M5" s="2137"/>
    </row>
    <row r="6" spans="1:33" ht="18" customHeight="1">
      <c r="A6" s="1616" t="s">
        <v>1353</v>
      </c>
      <c r="B6" s="4006" t="s">
        <v>1804</v>
      </c>
      <c r="C6" s="749">
        <f ca="1">ROUND(F6*F8*F7*(1-F9)/10000,0)</f>
        <v>1682</v>
      </c>
      <c r="D6" s="2143" t="s">
        <v>1803</v>
      </c>
      <c r="E6" s="750" t="s">
        <v>1267</v>
      </c>
      <c r="F6" s="751">
        <f ca="1">INDIRECT("'数据-取费表'!u"&amp;$G$1)</f>
        <v>4.5999999999999996</v>
      </c>
      <c r="G6" s="1785"/>
      <c r="H6" s="2150" t="s">
        <v>1809</v>
      </c>
      <c r="I6" s="4006" t="s">
        <v>1804</v>
      </c>
      <c r="J6" s="749">
        <f ca="1">ROUND(M6*M8*M7*(1-M9)/10000,0)</f>
        <v>0</v>
      </c>
      <c r="K6" s="332" t="s">
        <v>1266</v>
      </c>
      <c r="L6" s="750" t="s">
        <v>1267</v>
      </c>
      <c r="M6" s="751">
        <f ca="1">INDIRECT("'数据-取费表'!z"&amp;$G$1)</f>
        <v>0</v>
      </c>
    </row>
    <row r="7" spans="1:33" ht="18" customHeight="1">
      <c r="A7" s="2146"/>
      <c r="B7" s="4007"/>
      <c r="C7" s="754"/>
      <c r="D7" s="755"/>
      <c r="E7" s="750" t="s">
        <v>1268</v>
      </c>
      <c r="F7" s="751">
        <f ca="1">IF(INDIRECT("'数据-取费表'!ah"&amp;$G$1)="",INDIRECT("'数据-取费表'!k"&amp;$G$1),INDIRECT("'数据-取费表'!ah"&amp;$G$1))</f>
        <v>11128.710000000001</v>
      </c>
      <c r="G7" s="1785"/>
      <c r="H7" s="2135"/>
      <c r="I7" s="4007"/>
      <c r="J7" s="754"/>
      <c r="K7" s="755"/>
      <c r="L7" s="750" t="s">
        <v>1268</v>
      </c>
      <c r="M7" s="751">
        <f ca="1">F7</f>
        <v>11128.710000000001</v>
      </c>
    </row>
    <row r="8" spans="1:33" ht="18" customHeight="1">
      <c r="A8" s="2139"/>
      <c r="B8" s="4008"/>
      <c r="C8" s="754"/>
      <c r="D8" s="755"/>
      <c r="E8" s="750" t="s">
        <v>1269</v>
      </c>
      <c r="F8" s="751">
        <f ca="1">INDIRECT("'数据-取费表'!ai"&amp;$G$1)</f>
        <v>365</v>
      </c>
      <c r="G8" s="1785"/>
      <c r="H8" s="2135"/>
      <c r="I8" s="4008"/>
      <c r="J8" s="754"/>
      <c r="K8" s="755"/>
      <c r="L8" s="750" t="s">
        <v>1269</v>
      </c>
      <c r="M8" s="751">
        <f ca="1">INDIRECT("'数据-取费表'!ai"&amp;$G$1)</f>
        <v>365</v>
      </c>
    </row>
    <row r="9" spans="1:33" ht="18" customHeight="1">
      <c r="A9" s="752"/>
      <c r="B9" s="4009"/>
      <c r="C9" s="754"/>
      <c r="D9" s="755"/>
      <c r="E9" s="750" t="s">
        <v>1270</v>
      </c>
      <c r="F9" s="760">
        <f ca="1">INDIRECT("'数据-取费表'!w"&amp;$G$1)</f>
        <v>0.1</v>
      </c>
      <c r="G9" s="1785"/>
      <c r="H9" s="2151"/>
      <c r="I9" s="4008"/>
      <c r="J9" s="754"/>
      <c r="K9" s="755"/>
      <c r="L9" s="761" t="s">
        <v>1270</v>
      </c>
      <c r="M9" s="762">
        <f ca="1">INDIRECT("'数据-取费表'!ab"&amp;$G$1)</f>
        <v>0</v>
      </c>
    </row>
    <row r="10" spans="1:33" ht="18" customHeight="1">
      <c r="A10" s="1616" t="s">
        <v>1807</v>
      </c>
      <c r="B10" s="2140" t="s">
        <v>1800</v>
      </c>
      <c r="C10" s="765">
        <f ca="1">ROUND(IF(F10="押一",C6/12*F11,IF(F10="押二",C6/12*2*F11,IF(F10="押三",C6/12*3*F11,C11*F11))),0)</f>
        <v>2</v>
      </c>
      <c r="D10" s="2147" t="s">
        <v>2224</v>
      </c>
      <c r="E10" s="2144" t="s">
        <v>1805</v>
      </c>
      <c r="F10" s="2228" t="s">
        <v>3487</v>
      </c>
      <c r="G10" s="1785"/>
      <c r="H10" s="2178" t="s">
        <v>1810</v>
      </c>
      <c r="I10" s="2183" t="s">
        <v>1800</v>
      </c>
      <c r="J10" s="749">
        <f ca="1">ROUND(IF(M10="押一",J6/12*M11,IF(M10="押二",J6/12*2*M11,IF(M10="押三",J6/12*3*M11,J11*M11))),0)</f>
        <v>0</v>
      </c>
      <c r="K10" s="2147" t="s">
        <v>2224</v>
      </c>
      <c r="L10" s="2144" t="s">
        <v>1805</v>
      </c>
      <c r="M10" s="2228"/>
    </row>
    <row r="11" spans="1:33" ht="18" customHeight="1">
      <c r="A11" s="756"/>
      <c r="B11" s="2141" t="s">
        <v>1853</v>
      </c>
      <c r="C11" s="2145"/>
      <c r="D11" s="755"/>
      <c r="E11" s="2144" t="s">
        <v>1806</v>
      </c>
      <c r="F11" s="762">
        <f ca="1">'数据-取费表'!B39</f>
        <v>1.4999999999999999E-2</v>
      </c>
      <c r="G11" s="1785"/>
      <c r="H11" s="2179"/>
      <c r="I11" s="2141" t="s">
        <v>1853</v>
      </c>
      <c r="J11" s="2145"/>
      <c r="K11" s="2180"/>
      <c r="L11" s="2144" t="s">
        <v>1806</v>
      </c>
      <c r="M11" s="2138">
        <f ca="1">'数据-取费表'!B39</f>
        <v>1.4999999999999999E-2</v>
      </c>
    </row>
    <row r="12" spans="1:33" ht="18" customHeight="1" thickBot="1">
      <c r="A12" s="2154" t="s">
        <v>1808</v>
      </c>
      <c r="B12" s="2155" t="s">
        <v>1801</v>
      </c>
      <c r="C12" s="2156"/>
      <c r="D12" s="2157"/>
      <c r="E12" s="2158"/>
      <c r="F12" s="2159"/>
      <c r="G12" s="1785"/>
      <c r="H12" s="2168" t="s">
        <v>1811</v>
      </c>
      <c r="I12" s="2181" t="s">
        <v>1801</v>
      </c>
      <c r="J12" s="2182"/>
      <c r="K12" s="2157"/>
      <c r="L12" s="2158"/>
      <c r="M12" s="2171"/>
    </row>
    <row r="13" spans="1:33" ht="18" customHeight="1" thickTop="1">
      <c r="A13" s="1615">
        <v>2</v>
      </c>
      <c r="B13" s="1613" t="s">
        <v>1271</v>
      </c>
      <c r="C13" s="758">
        <f ca="1">ROUND(C29*F13,0)</f>
        <v>10889</v>
      </c>
      <c r="D13" s="1620" t="s">
        <v>1653</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6857</v>
      </c>
      <c r="D14" s="1733" t="s">
        <v>1274</v>
      </c>
      <c r="E14" s="1734"/>
      <c r="F14" s="771"/>
      <c r="G14" s="1785"/>
      <c r="H14" s="1453" t="s">
        <v>1359</v>
      </c>
      <c r="I14" s="1949" t="s">
        <v>2100</v>
      </c>
      <c r="J14" s="51">
        <f ca="1">C29</f>
        <v>10889</v>
      </c>
      <c r="K14" s="24"/>
      <c r="L14" s="767"/>
      <c r="M14" s="768"/>
    </row>
    <row r="15" spans="1:33" s="1787" customFormat="1" ht="18" customHeight="1" thickBot="1">
      <c r="A15" s="1452" t="s">
        <v>1410</v>
      </c>
      <c r="B15" s="750" t="s">
        <v>595</v>
      </c>
      <c r="C15" s="51">
        <f ca="1">ROUND(C14*F15,0)</f>
        <v>343</v>
      </c>
      <c r="D15" s="772" t="s">
        <v>1275</v>
      </c>
      <c r="E15" s="772" t="s">
        <v>1276</v>
      </c>
      <c r="F15" s="773">
        <f>'数据-取费表'!B33</f>
        <v>0.05</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113</v>
      </c>
      <c r="K16" s="1607" t="s">
        <v>1279</v>
      </c>
      <c r="L16" s="2132"/>
      <c r="M16" s="2137"/>
    </row>
    <row r="17" spans="1:33" s="1787" customFormat="1" ht="18" customHeight="1">
      <c r="A17" s="1452" t="s">
        <v>1412</v>
      </c>
      <c r="B17" s="750" t="s">
        <v>601</v>
      </c>
      <c r="C17" s="51">
        <f ca="1">ROUND(F17*(F43+INDIRECT("'数据-取费表'!S"&amp;$G$1))/10000,0)</f>
        <v>305</v>
      </c>
      <c r="D17" s="750" t="s">
        <v>1280</v>
      </c>
      <c r="E17" s="750" t="s">
        <v>1281</v>
      </c>
      <c r="F17" s="54">
        <f>'数据-取费表'!B35</f>
        <v>200</v>
      </c>
      <c r="G17" s="3001"/>
      <c r="H17" s="1453" t="s">
        <v>1359</v>
      </c>
      <c r="I17" s="750" t="s">
        <v>604</v>
      </c>
      <c r="J17" s="2761">
        <f ca="1">ROUND(IF(AND(项目基本情况!B11="自然人",项目基本情况!B10="北京市"),J6*M17/(1+'数据-取费表'!C42),J18+J19+J20),2)</f>
        <v>4.2</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103</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7608</v>
      </c>
      <c r="D19" s="252" t="s">
        <v>1286</v>
      </c>
      <c r="E19" s="1736"/>
      <c r="F19" s="54"/>
      <c r="G19" s="1785"/>
      <c r="H19" s="1452" t="s">
        <v>1410</v>
      </c>
      <c r="I19" s="750" t="s">
        <v>1287</v>
      </c>
      <c r="J19" s="51">
        <f ca="1">IF(K19="按租金收入计税",ROUND(J6*M19/(1+'数据-取费表'!C42),1),ROUND(C29*F33*0.7,2))</f>
        <v>0</v>
      </c>
      <c r="K19" s="776" t="s">
        <v>3242</v>
      </c>
      <c r="L19" s="750" t="s">
        <v>1276</v>
      </c>
      <c r="M19" s="775">
        <f>IF(K19="按租金收入计税",'数据-取费表'!B51,'数据-取费表'!B50)</f>
        <v>0.12</v>
      </c>
    </row>
    <row r="20" spans="1:33" s="1787" customFormat="1" ht="18" customHeight="1">
      <c r="A20" s="1453" t="s">
        <v>1414</v>
      </c>
      <c r="B20" s="750" t="s">
        <v>613</v>
      </c>
      <c r="C20" s="51">
        <f ca="1">ROUND(C19*F20,0)</f>
        <v>228</v>
      </c>
      <c r="D20" s="777" t="s">
        <v>1288</v>
      </c>
      <c r="E20" s="750" t="s">
        <v>1276</v>
      </c>
      <c r="F20" s="775">
        <f>'数据-取费表'!B37</f>
        <v>0.03</v>
      </c>
      <c r="G20" s="3001"/>
      <c r="H20" s="1455" t="s">
        <v>1405</v>
      </c>
      <c r="I20" s="332" t="s">
        <v>1289</v>
      </c>
      <c r="J20" s="52">
        <f ca="1">ROUND(M20*M21/10000,2)</f>
        <v>4.2</v>
      </c>
      <c r="K20" s="779" t="s">
        <v>1290</v>
      </c>
      <c r="L20" s="750" t="s">
        <v>1291</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1654</v>
      </c>
      <c r="E21" s="750" t="s">
        <v>1294</v>
      </c>
      <c r="F21" s="775">
        <f>'数据-取费表'!B38</f>
        <v>0.03</v>
      </c>
      <c r="G21" s="3001"/>
      <c r="H21" s="2152"/>
      <c r="I21" s="759"/>
      <c r="J21" s="67"/>
      <c r="K21" s="781"/>
      <c r="L21" s="750" t="s">
        <v>1295</v>
      </c>
      <c r="M21" s="751">
        <f ca="1">INDIRECT("'数据-取费表'!r"&amp;$G$1)</f>
        <v>4663.93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108.89</v>
      </c>
      <c r="K22" s="2130" t="s">
        <v>1298</v>
      </c>
      <c r="L22" s="750" t="s">
        <v>1276</v>
      </c>
      <c r="M22" s="782">
        <f ca="1">INDIRECT("'数据-取费表'!Ak"&amp;$G$1)</f>
        <v>0.01</v>
      </c>
    </row>
    <row r="23" spans="1:33" s="1787" customFormat="1" ht="18" customHeight="1">
      <c r="A23" s="1452" t="s">
        <v>1360</v>
      </c>
      <c r="B23" s="750" t="s">
        <v>1815</v>
      </c>
      <c r="C23" s="51">
        <f ca="1">ROUND(IF('数据-取费表'!B22&lt;=1,(C19+C20)*F24*F23/2,(C19+C20)*(POWER((1+F24),F23/2)-1)),0)</f>
        <v>493</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2096</v>
      </c>
      <c r="J25" s="758">
        <f ca="1">J5-J16</f>
        <v>-113</v>
      </c>
      <c r="K25" s="2165" t="s">
        <v>1306</v>
      </c>
      <c r="L25" s="2166"/>
      <c r="M25" s="2167"/>
    </row>
    <row r="26" spans="1:33" ht="18" customHeight="1">
      <c r="A26" s="1452" t="s">
        <v>1360</v>
      </c>
      <c r="B26" s="750" t="s">
        <v>1782</v>
      </c>
      <c r="C26" s="51">
        <f ca="1">ROUND((C19+C20)*F26,0)</f>
        <v>1567</v>
      </c>
      <c r="D26" s="777" t="s">
        <v>1307</v>
      </c>
      <c r="E26" s="761" t="s">
        <v>1308</v>
      </c>
      <c r="F26" s="760">
        <f ca="1">INDIRECT("'数据-取费表'!q"&amp;$G$1)</f>
        <v>0.2</v>
      </c>
      <c r="G26" s="1785"/>
      <c r="H26" s="2148" t="s">
        <v>1309</v>
      </c>
      <c r="I26" s="1950" t="s">
        <v>2101</v>
      </c>
      <c r="J26" s="749">
        <f ca="1">IF(J5&lt;&gt;0,ROUND(J25*(1-((1+M28)/(1+M26))^M27)/(M26-M28),0),0)</f>
        <v>0</v>
      </c>
      <c r="K26" s="779" t="s">
        <v>1310</v>
      </c>
      <c r="L26" s="750" t="s">
        <v>1770</v>
      </c>
      <c r="M26" s="760">
        <f ca="1">INDIRECT("'数据-取费表'!I"&amp;$G$1)</f>
        <v>5.5E-2</v>
      </c>
    </row>
    <row r="27" spans="1:33" ht="18" customHeight="1">
      <c r="A27" s="1452" t="s">
        <v>1361</v>
      </c>
      <c r="B27" s="750" t="s">
        <v>633</v>
      </c>
      <c r="C27" s="51">
        <f ca="1">ROUND(F21*F26,4)</f>
        <v>6.0000000000000001E-3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1655</v>
      </c>
      <c r="E28" s="750" t="s">
        <v>1314</v>
      </c>
      <c r="F28" s="775">
        <f>'数据-取费表'!B41</f>
        <v>5.6000000000000001E-2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10889</v>
      </c>
      <c r="D29" s="2162"/>
      <c r="E29" s="2163"/>
      <c r="F29" s="2164"/>
      <c r="G29" s="3001"/>
      <c r="H29" s="788" t="s">
        <v>1316</v>
      </c>
      <c r="I29" s="789" t="s">
        <v>1317</v>
      </c>
      <c r="J29" s="790">
        <f ca="1">ROUND(J26/(1+F40)^F41,0)</f>
        <v>0</v>
      </c>
      <c r="K29" s="791" t="s">
        <v>1318</v>
      </c>
      <c r="L29" s="792"/>
      <c r="M29" s="793">
        <f ca="1">INDIRECT("'数据-取费表'!k"&amp;$G$1)</f>
        <v>11128.710000000001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428</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286.14</v>
      </c>
      <c r="D31" s="1733" t="s">
        <v>1321</v>
      </c>
      <c r="E31" s="1731" t="s">
        <v>1322</v>
      </c>
      <c r="F31" s="2760" t="str">
        <f>IF(项目基本情况!B11="企业","——",IF(M47="住宅",IF(F6*F7*F8/12/(1+'数据-取费表'!F30)&gt;100000,4%,2.5%),IF(F6*F7*F8/12/(1+'数据-取费表'!F30)&gt;100000,12%,7%)))</f>
        <v>——</v>
      </c>
      <c r="G31" s="1785"/>
      <c r="H31" s="2998" t="s">
        <v>2276</v>
      </c>
      <c r="I31" s="1789"/>
      <c r="J31" s="1790"/>
      <c r="K31" s="1791"/>
      <c r="L31" s="1792"/>
      <c r="M31" s="1793"/>
    </row>
    <row r="32" spans="1:33" ht="18" customHeight="1">
      <c r="A32" s="1452" t="s">
        <v>1360</v>
      </c>
      <c r="B32" s="750" t="s">
        <v>1323</v>
      </c>
      <c r="C32" s="51">
        <f ca="1">ROUND(C6*F32/(1+'数据-取费表'!C42),2)</f>
        <v>89.71</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192.23</v>
      </c>
      <c r="D33" s="776" t="s">
        <v>3242</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4.2</v>
      </c>
      <c r="D34" s="779" t="s">
        <v>1328</v>
      </c>
      <c r="E34" s="750" t="s">
        <v>1329</v>
      </c>
      <c r="F34" s="608">
        <f>'数据-取费表'!B52</f>
        <v>9</v>
      </c>
      <c r="G34" s="1785"/>
      <c r="H34" s="1788"/>
      <c r="I34" s="800" t="s">
        <v>1342</v>
      </c>
      <c r="J34" s="801"/>
      <c r="K34" s="1803"/>
      <c r="L34" s="3704" t="s">
        <v>3495</v>
      </c>
      <c r="M34" s="3704" t="s">
        <v>3496</v>
      </c>
      <c r="N34" s="3705" t="s">
        <v>3497</v>
      </c>
    </row>
    <row r="35" spans="1:18" ht="18" customHeight="1">
      <c r="A35" s="780"/>
      <c r="B35" s="759"/>
      <c r="C35" s="67"/>
      <c r="D35" s="781"/>
      <c r="E35" s="750" t="s">
        <v>1330</v>
      </c>
      <c r="F35" s="751">
        <f ca="1">INDIRECT("'数据-取费表'!r"&amp;$G$1)</f>
        <v>4663.93</v>
      </c>
      <c r="G35" s="1785"/>
      <c r="H35" s="1788"/>
      <c r="I35" s="802" t="s">
        <v>1343</v>
      </c>
      <c r="J35" s="803">
        <f ca="1">ROUND(C13*J36,0)</f>
        <v>0</v>
      </c>
      <c r="K35" s="1801"/>
      <c r="L35" s="1800" t="s">
        <v>3492</v>
      </c>
      <c r="M35" s="1800">
        <f>'数据-取费表'!V21</f>
        <v>1</v>
      </c>
      <c r="N35" s="1782">
        <f ca="1">ROUND($B$3*3/$M$38*M35,0)</f>
        <v>32780</v>
      </c>
    </row>
    <row r="36" spans="1:18" ht="18" customHeight="1">
      <c r="A36" s="1453" t="s">
        <v>1414</v>
      </c>
      <c r="B36" s="750" t="s">
        <v>1331</v>
      </c>
      <c r="C36" s="51">
        <f ca="1">ROUND(C29*F36,2)</f>
        <v>108.89</v>
      </c>
      <c r="D36" s="1731" t="s">
        <v>1332</v>
      </c>
      <c r="E36" s="750" t="s">
        <v>1325</v>
      </c>
      <c r="F36" s="782">
        <f ca="1">INDIRECT("'数据-取费表'!Ak"&amp;$G$1)</f>
        <v>0.01</v>
      </c>
      <c r="G36" s="1785"/>
      <c r="H36" s="1800"/>
      <c r="I36" s="804" t="s">
        <v>1344</v>
      </c>
      <c r="J36" s="805">
        <f ca="1">INDIRECT("'数据-取费表'!j"&amp;$G$1)</f>
        <v>0</v>
      </c>
      <c r="K36" s="1804"/>
      <c r="L36" s="1800" t="s">
        <v>3493</v>
      </c>
      <c r="M36" s="1800">
        <f>'数据-取费表'!V22</f>
        <v>0.7</v>
      </c>
      <c r="N36" s="1782">
        <f ca="1">ROUND($B$3*3/$M$38*M36,0)</f>
        <v>22946</v>
      </c>
    </row>
    <row r="37" spans="1:18" ht="18" customHeight="1">
      <c r="A37" s="1453" t="s">
        <v>1415</v>
      </c>
      <c r="B37" s="750" t="s">
        <v>626</v>
      </c>
      <c r="C37" s="51">
        <f ca="1">ROUND(C13*F37,2)</f>
        <v>16.329999999999998</v>
      </c>
      <c r="D37" s="1731" t="s">
        <v>1333</v>
      </c>
      <c r="E37" s="750" t="s">
        <v>1325</v>
      </c>
      <c r="F37" s="783">
        <f ca="1">INDIRECT("'数据-取费表'!Al"&amp;$G$1)</f>
        <v>1.5E-3</v>
      </c>
      <c r="G37" s="1785"/>
      <c r="H37" s="1800"/>
      <c r="I37" s="806" t="s">
        <v>1345</v>
      </c>
      <c r="J37" s="807"/>
      <c r="K37" s="1804"/>
      <c r="L37" s="1800" t="s">
        <v>3494</v>
      </c>
      <c r="M37" s="1800">
        <f>'数据-取费表'!V23</f>
        <v>0.6</v>
      </c>
      <c r="N37" s="1782">
        <f ca="1">ROUND($B$3*3/$M$38*M37,0)</f>
        <v>19668</v>
      </c>
    </row>
    <row r="38" spans="1:18" ht="18" customHeight="1" thickBot="1">
      <c r="A38" s="2168" t="s">
        <v>1416</v>
      </c>
      <c r="B38" s="2163" t="s">
        <v>613</v>
      </c>
      <c r="C38" s="2161">
        <f ca="1">ROUND(C5*F38,2)</f>
        <v>16.84</v>
      </c>
      <c r="D38" s="2162" t="s">
        <v>1334</v>
      </c>
      <c r="E38" s="2163" t="s">
        <v>1325</v>
      </c>
      <c r="F38" s="2159">
        <f ca="1">INDIRECT("'数据-取费表'!Am"&amp;$G$1)</f>
        <v>0.01</v>
      </c>
      <c r="G38" s="1785"/>
      <c r="H38" s="1800"/>
      <c r="I38" s="808" t="s">
        <v>1346</v>
      </c>
      <c r="J38" s="809"/>
      <c r="K38" s="1805"/>
      <c r="L38" s="1800"/>
      <c r="M38" s="1800">
        <f>SUM(M35:M37)</f>
        <v>2.2999999999999998</v>
      </c>
      <c r="N38" s="1782">
        <f ca="1">ROUND((N35+N36+N37)/3,0)</f>
        <v>25131</v>
      </c>
    </row>
    <row r="39" spans="1:18" ht="24.6" customHeight="1" thickTop="1">
      <c r="A39" s="1615" t="s">
        <v>1419</v>
      </c>
      <c r="B39" s="2483" t="s">
        <v>2096</v>
      </c>
      <c r="C39" s="758">
        <f ca="1">C5-C30</f>
        <v>1256</v>
      </c>
      <c r="D39" s="2165" t="s">
        <v>1335</v>
      </c>
      <c r="E39" s="2166"/>
      <c r="F39" s="2167"/>
      <c r="G39" s="1785"/>
      <c r="H39" s="1800"/>
      <c r="I39" s="802" t="s">
        <v>1347</v>
      </c>
      <c r="J39" s="810">
        <f ca="1">ROUND(J35/C39,3)</f>
        <v>0</v>
      </c>
      <c r="K39" s="1805"/>
      <c r="L39" s="1800"/>
      <c r="M39" s="1800"/>
    </row>
    <row r="40" spans="1:18" ht="18" customHeight="1">
      <c r="A40" s="747" t="s">
        <v>1420</v>
      </c>
      <c r="B40" s="1950" t="s">
        <v>1657</v>
      </c>
      <c r="C40" s="749">
        <f ca="1">ROUND(C39*(1-((1+F42)/(1+F40))^F41)/(F40-F42),0)</f>
        <v>27968</v>
      </c>
      <c r="D40" s="779" t="s">
        <v>1336</v>
      </c>
      <c r="E40" s="750" t="s">
        <v>1770</v>
      </c>
      <c r="F40" s="760">
        <f ca="1">INDIRECT("'数据-取费表'!I"&amp;$G$1)</f>
        <v>5.5E-2</v>
      </c>
      <c r="G40" s="1785"/>
      <c r="H40" s="1785"/>
      <c r="I40" s="802" t="s">
        <v>1348</v>
      </c>
      <c r="J40" s="810">
        <f ca="1">1-J39</f>
        <v>1</v>
      </c>
      <c r="K40" s="1805"/>
      <c r="L40" s="1785"/>
      <c r="M40" s="1785"/>
    </row>
    <row r="41" spans="1:18" ht="18" customHeight="1">
      <c r="A41" s="752"/>
      <c r="B41" s="753"/>
      <c r="C41" s="754"/>
      <c r="D41" s="786" t="s">
        <v>1337</v>
      </c>
      <c r="E41" s="750" t="s">
        <v>2216</v>
      </c>
      <c r="F41" s="787">
        <f ca="1">IF(INDIRECT("'数据-取费表'!af"&amp;$G$1)=0,INDIRECT("'数据-取费表'!ae"&amp;$G$1),INDIRECT("'数据-取费表'!af"&amp;$G$1))</f>
        <v>33.92</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0.38900000000000001</v>
      </c>
      <c r="K42" s="1804"/>
      <c r="L42" s="1740"/>
      <c r="M42" s="1740"/>
    </row>
    <row r="43" spans="1:18" ht="18" customHeight="1" thickBot="1">
      <c r="A43" s="788" t="s">
        <v>1316</v>
      </c>
      <c r="B43" s="789" t="s">
        <v>1339</v>
      </c>
      <c r="C43" s="790">
        <f ca="1">ROUND(C40*10000/F43,0)</f>
        <v>25131</v>
      </c>
      <c r="D43" s="791" t="s">
        <v>1340</v>
      </c>
      <c r="E43" s="792" t="s">
        <v>1341</v>
      </c>
      <c r="F43" s="793">
        <f ca="1">INDIRECT("'数据-取费表'!k"&amp;$G$1)</f>
        <v>11128.710000000001</v>
      </c>
      <c r="G43" s="1785"/>
      <c r="H43" s="1740"/>
      <c r="I43" s="812" t="s">
        <v>1351</v>
      </c>
      <c r="J43" s="813">
        <f ca="1">1-J42</f>
        <v>0.61099999999999999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-29932</v>
      </c>
      <c r="D46" s="3002"/>
      <c r="E46" s="3002"/>
      <c r="F46" s="3002"/>
      <c r="I46" s="2069" t="s">
        <v>1694</v>
      </c>
      <c r="J46" s="2070"/>
      <c r="K46" s="2071"/>
      <c r="L46" s="2565">
        <f>IF(OR(M47="住宅",D1="土地（套用方法）"),0,IF(L48&gt;J51,L60,J60))</f>
        <v>0</v>
      </c>
      <c r="M46" s="3003"/>
      <c r="O46" s="2085" t="s">
        <v>1761</v>
      </c>
      <c r="P46" s="1404"/>
      <c r="Q46" s="1412"/>
      <c r="R46" s="1404"/>
    </row>
    <row r="47" spans="1:18" s="1782" customFormat="1" ht="18" customHeight="1" thickBot="1">
      <c r="A47" s="3653">
        <v>1</v>
      </c>
      <c r="B47" s="3654" t="s">
        <v>583</v>
      </c>
      <c r="C47" s="3655">
        <f ca="1">C48+C52+C54</f>
        <v>0</v>
      </c>
      <c r="D47" s="3656"/>
      <c r="E47" s="3656"/>
      <c r="F47" s="3657"/>
      <c r="I47" s="2556" t="s">
        <v>1695</v>
      </c>
      <c r="J47" s="2072" t="s">
        <v>3479</v>
      </c>
      <c r="K47" s="2562" t="s">
        <v>1700</v>
      </c>
      <c r="L47" s="2566">
        <f ca="1">INDIRECT("'数据-取费表'!d"&amp;$G$1)</f>
        <v>40</v>
      </c>
      <c r="M47" s="1412" t="str">
        <f>IF(ISNUMBER(FIND("住宅",C1)),"住宅","非住宅")</f>
        <v>非住宅</v>
      </c>
      <c r="O47" s="2086" t="s">
        <v>1726</v>
      </c>
      <c r="P47" s="2087" t="s">
        <v>1727</v>
      </c>
      <c r="Q47" s="2088" t="s">
        <v>1728</v>
      </c>
      <c r="R47" s="2087" t="s">
        <v>1729</v>
      </c>
    </row>
    <row r="48" spans="1:18" s="1782" customFormat="1" ht="18" customHeight="1" thickBot="1">
      <c r="A48" s="2247" t="s">
        <v>1817</v>
      </c>
      <c r="B48" s="2248" t="s">
        <v>1818</v>
      </c>
      <c r="C48" s="2065">
        <f ca="1">ROUND(F48*F50*F49*(1-F51)/10000,0)</f>
        <v>0</v>
      </c>
      <c r="D48" s="2066" t="s">
        <v>584</v>
      </c>
      <c r="E48" s="2067" t="s">
        <v>1652</v>
      </c>
      <c r="F48" s="2068">
        <f ca="1">M6</f>
        <v>0</v>
      </c>
      <c r="G48" s="1812"/>
      <c r="I48" s="2553" t="s">
        <v>1696</v>
      </c>
      <c r="J48" s="2073" t="s">
        <v>1701</v>
      </c>
      <c r="K48" s="2563" t="s">
        <v>1702</v>
      </c>
      <c r="L48" s="1663">
        <f ca="1">INDIRECT("'数据-取费表'!f"&amp;$G$1)</f>
        <v>36.92</v>
      </c>
      <c r="M48" s="3003"/>
      <c r="O48" s="2089" t="s">
        <v>1730</v>
      </c>
      <c r="P48" s="2090" t="s">
        <v>1756</v>
      </c>
      <c r="Q48" s="2091">
        <f ca="1">C40+J29</f>
        <v>27968</v>
      </c>
      <c r="R48" s="2090" t="s">
        <v>1731</v>
      </c>
    </row>
    <row r="49" spans="1:18" s="1782" customFormat="1" ht="18" customHeight="1" thickBot="1">
      <c r="A49" s="752"/>
      <c r="B49" s="753"/>
      <c r="C49" s="754"/>
      <c r="D49" s="755"/>
      <c r="E49" s="750" t="s">
        <v>1268</v>
      </c>
      <c r="F49" s="751">
        <f ca="1">F7</f>
        <v>11128.710000000001</v>
      </c>
      <c r="G49" s="1812"/>
      <c r="H49" s="1815"/>
      <c r="I49" s="2553" t="s">
        <v>1697</v>
      </c>
      <c r="J49" s="2074"/>
      <c r="K49" s="2564" t="s">
        <v>1703</v>
      </c>
      <c r="L49" s="2075"/>
      <c r="M49" s="3003"/>
      <c r="O49" s="2089" t="s">
        <v>1732</v>
      </c>
      <c r="P49" s="2090" t="s">
        <v>1757</v>
      </c>
      <c r="Q49" s="2091" t="str">
        <f ca="1">J60</f>
        <v>0</v>
      </c>
      <c r="R49" s="2090" t="s">
        <v>1733</v>
      </c>
    </row>
    <row r="50" spans="1:18" s="1782" customFormat="1" ht="18" customHeight="1" thickBot="1">
      <c r="A50" s="752"/>
      <c r="B50" s="753"/>
      <c r="C50" s="754"/>
      <c r="D50" s="755"/>
      <c r="E50" s="750" t="s">
        <v>1269</v>
      </c>
      <c r="F50" s="751">
        <f ca="1">F8</f>
        <v>365</v>
      </c>
      <c r="G50" s="1817"/>
      <c r="H50" s="1815"/>
      <c r="I50" s="2553" t="s">
        <v>1698</v>
      </c>
      <c r="J50" s="2560">
        <f>SUMPRODUCT((I63:I65=J47)*(J62:L62=J48)*(J63:L65))</f>
        <v>60</v>
      </c>
      <c r="K50" s="2564" t="s">
        <v>1704</v>
      </c>
      <c r="L50" s="2075"/>
      <c r="M50" s="3003"/>
      <c r="O50" s="2092" t="s">
        <v>1734</v>
      </c>
      <c r="P50" s="2090" t="s">
        <v>1758</v>
      </c>
      <c r="Q50" s="2091">
        <f ca="1">C29</f>
        <v>10889</v>
      </c>
      <c r="R50" s="2090" t="s">
        <v>1731</v>
      </c>
    </row>
    <row r="51" spans="1:18" s="1782" customFormat="1" ht="18" customHeight="1" thickBot="1">
      <c r="A51" s="752"/>
      <c r="B51" s="753"/>
      <c r="C51" s="754"/>
      <c r="D51" s="755"/>
      <c r="E51" s="750" t="s">
        <v>588</v>
      </c>
      <c r="F51" s="2064"/>
      <c r="H51" s="1815"/>
      <c r="I51" s="2557" t="s">
        <v>1699</v>
      </c>
      <c r="J51" s="2561">
        <f>IF(J49="",J50,J49+J50-YEAR('数据-取费表'!B2))</f>
        <v>60</v>
      </c>
      <c r="K51" s="2553" t="s">
        <v>1705</v>
      </c>
      <c r="L51" s="2567">
        <f ca="1">ROUND(-PV(INDIRECT("'数据-取费表'!h"&amp;$G$1),J51,(C39-C13*J36),0),0)</f>
        <v>23775</v>
      </c>
      <c r="M51" s="3003"/>
      <c r="O51" s="2092" t="s">
        <v>1735</v>
      </c>
      <c r="P51" s="2090" t="s">
        <v>1736</v>
      </c>
      <c r="Q51" s="2093" t="e">
        <f ca="1">J58</f>
        <v>#VALUE!</v>
      </c>
      <c r="R51" s="2094"/>
    </row>
    <row r="52" spans="1:18" s="1782" customFormat="1" ht="18" customHeight="1" thickBot="1">
      <c r="A52" s="747" t="s">
        <v>1816</v>
      </c>
      <c r="B52" s="2140" t="s">
        <v>1800</v>
      </c>
      <c r="C52" s="765">
        <f ca="1">ROUND(IF(F52="押一",C48/12*F11,IF(F52="押二",C48/12*2*F11,IF(F52="押三",C48/12*3*F11,C53*F11))),0)</f>
        <v>0</v>
      </c>
      <c r="D52" s="2147" t="s">
        <v>2225</v>
      </c>
      <c r="E52" s="2144" t="s">
        <v>1805</v>
      </c>
      <c r="F52" s="2228"/>
      <c r="I52" s="2558" t="s">
        <v>1772</v>
      </c>
      <c r="J52" s="2076"/>
      <c r="K52" s="2558" t="s">
        <v>1771</v>
      </c>
      <c r="L52" s="2076"/>
      <c r="M52" s="3003"/>
      <c r="O52" s="2092" t="s">
        <v>1737</v>
      </c>
      <c r="P52" s="2090" t="s">
        <v>1738</v>
      </c>
      <c r="Q52" s="2093">
        <f>J52</f>
        <v>0</v>
      </c>
      <c r="R52" s="2094"/>
    </row>
    <row r="53" spans="1:18" s="1782" customFormat="1" ht="39.75" customHeight="1" thickBot="1">
      <c r="A53" s="752"/>
      <c r="B53" s="2141" t="s">
        <v>1853</v>
      </c>
      <c r="C53" s="2145"/>
      <c r="D53" s="2147"/>
      <c r="E53" s="2144"/>
      <c r="F53" s="766"/>
      <c r="I53" s="2559" t="s">
        <v>2228</v>
      </c>
      <c r="J53" s="2610">
        <f ca="1">IF(M47="住宅",IF(D1="——",MAX(J51,L48),MAX(J51,L48-'数据-取费表'!B20)),IF(D1="——",MIN(J51,L48),MIN(J51,L48-'数据-取费表'!B20)))</f>
        <v>33.92</v>
      </c>
      <c r="K53" s="4046" t="s">
        <v>2218</v>
      </c>
      <c r="L53" s="4047"/>
      <c r="M53" s="3003"/>
      <c r="O53" s="2092" t="s">
        <v>1739</v>
      </c>
      <c r="P53" s="2090" t="s">
        <v>1740</v>
      </c>
      <c r="Q53" s="2091">
        <f ca="1">J53</f>
        <v>33.92</v>
      </c>
      <c r="R53" s="2090" t="s">
        <v>1741</v>
      </c>
    </row>
    <row r="54" spans="1:18" s="1782" customFormat="1" ht="18" customHeight="1" thickBot="1">
      <c r="A54" s="2154" t="s">
        <v>1808</v>
      </c>
      <c r="B54" s="2155" t="s">
        <v>1801</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1742</v>
      </c>
      <c r="P54" s="2090" t="s">
        <v>1759</v>
      </c>
      <c r="Q54" s="2091">
        <f ca="1">Q48+Q49</f>
        <v>27968</v>
      </c>
      <c r="R54" s="2094" t="s">
        <v>1743</v>
      </c>
    </row>
    <row r="55" spans="1:18" s="1782" customFormat="1" ht="18" customHeight="1" thickTop="1" thickBot="1">
      <c r="A55" s="763">
        <v>2</v>
      </c>
      <c r="B55" s="764" t="s">
        <v>592</v>
      </c>
      <c r="C55" s="765">
        <f ca="1">C13</f>
        <v>10889</v>
      </c>
      <c r="D55" s="761"/>
      <c r="E55" s="761"/>
      <c r="F55" s="766"/>
      <c r="I55" s="2570" t="s">
        <v>1706</v>
      </c>
      <c r="J55" s="2542" t="e">
        <f ca="1">ROUND(IF(J47="钢混",J57/J50,1-(1-2%)*(J50-J57)/J50),3)</f>
        <v>#VALUE!</v>
      </c>
      <c r="K55" s="2571" t="s">
        <v>1707</v>
      </c>
      <c r="L55" s="2077"/>
      <c r="M55" s="3003"/>
      <c r="O55" s="2095" t="s">
        <v>1762</v>
      </c>
      <c r="P55" s="1404"/>
      <c r="Q55" s="1412"/>
      <c r="R55" s="1404"/>
    </row>
    <row r="56" spans="1:18" s="1782" customFormat="1" ht="42.75" customHeight="1" thickBot="1">
      <c r="A56" s="1454"/>
      <c r="B56" s="1949" t="s">
        <v>1658</v>
      </c>
      <c r="C56" s="51">
        <f ca="1">C29</f>
        <v>10889</v>
      </c>
      <c r="D56" s="2244"/>
      <c r="E56" s="750"/>
      <c r="F56" s="775"/>
      <c r="I56" s="2572" t="s">
        <v>1708</v>
      </c>
      <c r="J56" s="2582" t="s">
        <v>3267</v>
      </c>
      <c r="K56" s="2553" t="s">
        <v>1713</v>
      </c>
      <c r="L56" s="1663" t="str">
        <f ca="1">IF(L48&lt;J51,"——",L48-J51)</f>
        <v>——</v>
      </c>
      <c r="M56" s="3003"/>
      <c r="O56" s="2086" t="s">
        <v>1726</v>
      </c>
      <c r="P56" s="2087" t="s">
        <v>1727</v>
      </c>
      <c r="Q56" s="2088" t="s">
        <v>1728</v>
      </c>
      <c r="R56" s="2087" t="s">
        <v>1729</v>
      </c>
    </row>
    <row r="57" spans="1:18" s="1782" customFormat="1" ht="28.5" customHeight="1" thickBot="1">
      <c r="A57" s="763" t="s">
        <v>1277</v>
      </c>
      <c r="B57" s="764" t="s">
        <v>599</v>
      </c>
      <c r="C57" s="765">
        <f ca="1">ROUND(C58+C63+C64+C65,0)</f>
        <v>129</v>
      </c>
      <c r="D57" s="24" t="s">
        <v>1279</v>
      </c>
      <c r="E57" s="2245"/>
      <c r="F57" s="54"/>
      <c r="I57" s="2573" t="s">
        <v>1709</v>
      </c>
      <c r="J57" s="2574" t="str">
        <f ca="1">IF(OR(M47="住宅",J51&lt;L48,J56="是"),"——",J51-L48)</f>
        <v>——</v>
      </c>
      <c r="K57" s="2553" t="s">
        <v>1714</v>
      </c>
      <c r="L57" s="1663" t="str">
        <f ca="1">IF(L48&lt;J51,"——",IF(L55="比较法",L49,IF(L55="基准地价",L50,L51)))</f>
        <v>——</v>
      </c>
      <c r="M57" s="3003"/>
      <c r="O57" s="2089" t="s">
        <v>1730</v>
      </c>
      <c r="P57" s="2090" t="s">
        <v>1760</v>
      </c>
      <c r="Q57" s="2091">
        <f ca="1">C40+J29</f>
        <v>27968</v>
      </c>
      <c r="R57" s="2090" t="s">
        <v>1731</v>
      </c>
    </row>
    <row r="58" spans="1:18" s="1782" customFormat="1" ht="28.5" customHeight="1" thickBot="1">
      <c r="A58" s="1453" t="s">
        <v>1353</v>
      </c>
      <c r="B58" s="750" t="s">
        <v>604</v>
      </c>
      <c r="C58" s="2761">
        <f ca="1">ROUND(IF(AND(项目基本情况!B11="自然人",项目基本情况!B10="北京市"),C48*F58/(1+'数据-取费表'!C42),C59+C60+C61),2)</f>
        <v>4.2</v>
      </c>
      <c r="D58" s="2243" t="s">
        <v>605</v>
      </c>
      <c r="E58" s="2244" t="s">
        <v>637</v>
      </c>
      <c r="F58" s="2760" t="str">
        <f>IF(项目基本情况!B11="企业","——",IF('数据-取费表'!B10="住宅",IF(F48*F49*F50/12/(1+'数据-取费表'!F30)&gt;100000,4%,2.5%),IF(F48*F49*F50/12/(1+'数据-取费表'!F30)&gt;100000,12%,7%)))</f>
        <v>——</v>
      </c>
      <c r="I58" s="2573" t="s">
        <v>1710</v>
      </c>
      <c r="J58" s="2543" t="e">
        <f ca="1">IF(J55&lt;0.4,0.4,J55)</f>
        <v>#VALUE!</v>
      </c>
      <c r="K58" s="2553" t="s">
        <v>1715</v>
      </c>
      <c r="L58" s="1663" t="e">
        <f ca="1">ROUND(POWER(1+L52,L47-L48)*(POWER(1+L52,L48)-1)/(POWER(1+L52,L47)-1),4)</f>
        <v>#DIV/0!</v>
      </c>
      <c r="M58" s="3003"/>
      <c r="O58" s="2089" t="s">
        <v>1732</v>
      </c>
      <c r="P58" s="2090" t="s">
        <v>1763</v>
      </c>
      <c r="Q58" s="2091">
        <f ca="1">L60</f>
        <v>0</v>
      </c>
      <c r="R58" s="2094" t="s">
        <v>1765</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1711</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1734</v>
      </c>
      <c r="P59" s="2090" t="s">
        <v>1764</v>
      </c>
      <c r="Q59" s="2091">
        <f>IF(L55="比较法",L49,IF(L55="基准地价",L50,0))</f>
        <v>0</v>
      </c>
      <c r="R59" s="2090" t="s">
        <v>1731</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1712</v>
      </c>
      <c r="J60" s="2576" t="str">
        <f ca="1">IF(OR(M47="住宅",J51&lt;L48,J56="是"),"0",ROUND(J59/(1+J52)^J53,0))</f>
        <v>0</v>
      </c>
      <c r="K60" s="2577" t="s">
        <v>1717</v>
      </c>
      <c r="L60" s="2576">
        <f ca="1">IF(OR(M47="住宅",L48&lt;J51),0,ROUND(L57*(L58/L59-1),0))</f>
        <v>0</v>
      </c>
      <c r="M60" s="3003"/>
      <c r="O60" s="2092" t="s">
        <v>1735</v>
      </c>
      <c r="P60" s="2090" t="s">
        <v>1744</v>
      </c>
      <c r="Q60" s="2093">
        <f>L52</f>
        <v>0</v>
      </c>
      <c r="R60" s="2094"/>
    </row>
    <row r="61" spans="1:18" s="1782" customFormat="1" ht="18" customHeight="1" thickBot="1">
      <c r="A61" s="1455" t="s">
        <v>1362</v>
      </c>
      <c r="B61" s="332" t="s">
        <v>615</v>
      </c>
      <c r="C61" s="52">
        <f ca="1">ROUND(F61*F62/10000,2)</f>
        <v>4.2</v>
      </c>
      <c r="D61" s="779" t="s">
        <v>616</v>
      </c>
      <c r="E61" s="750" t="s">
        <v>617</v>
      </c>
      <c r="F61" s="608">
        <f t="shared" si="0"/>
        <v>9</v>
      </c>
      <c r="K61" s="1808"/>
      <c r="O61" s="2092" t="s">
        <v>1737</v>
      </c>
      <c r="P61" s="2090" t="s">
        <v>1745</v>
      </c>
      <c r="Q61" s="2091" t="e">
        <f ca="1">L58</f>
        <v>#DIV/0!</v>
      </c>
      <c r="R61" s="2094" t="s">
        <v>1746</v>
      </c>
    </row>
    <row r="62" spans="1:18" s="1782" customFormat="1" ht="15.75" thickBot="1">
      <c r="A62" s="780"/>
      <c r="B62" s="759"/>
      <c r="C62" s="67"/>
      <c r="D62" s="781"/>
      <c r="E62" s="750" t="s">
        <v>621</v>
      </c>
      <c r="F62" s="751">
        <f t="shared" ca="1" si="0"/>
        <v>4663.93</v>
      </c>
      <c r="I62" s="2578" t="s">
        <v>1718</v>
      </c>
      <c r="J62" s="2579" t="s">
        <v>1719</v>
      </c>
      <c r="K62" s="2579" t="s">
        <v>1720</v>
      </c>
      <c r="L62" s="2579" t="s">
        <v>1701</v>
      </c>
      <c r="M62" s="2580" t="s">
        <v>2197</v>
      </c>
      <c r="O62" s="2092" t="s">
        <v>1739</v>
      </c>
      <c r="P62" s="2090" t="str">
        <f>K59</f>
        <v>建设期及建筑物耐用年限下的土地年期修正系数Kn</v>
      </c>
      <c r="Q62" s="2091" t="e">
        <f ca="1">L59</f>
        <v>#DIV/0!</v>
      </c>
      <c r="R62" s="2094" t="s">
        <v>1748</v>
      </c>
    </row>
    <row r="63" spans="1:18" s="1782" customFormat="1" ht="15.75" thickBot="1">
      <c r="A63" s="1453" t="s">
        <v>1414</v>
      </c>
      <c r="B63" s="750" t="s">
        <v>623</v>
      </c>
      <c r="C63" s="51">
        <f ca="1">ROUND(C56*F63,2)</f>
        <v>108.89</v>
      </c>
      <c r="D63" s="2244" t="s">
        <v>1332</v>
      </c>
      <c r="E63" s="750" t="s">
        <v>1276</v>
      </c>
      <c r="F63" s="782">
        <f t="shared" ca="1" si="0"/>
        <v>0.01</v>
      </c>
      <c r="I63" s="2578" t="s">
        <v>1721</v>
      </c>
      <c r="J63" s="2579">
        <v>70</v>
      </c>
      <c r="K63" s="2579">
        <v>50</v>
      </c>
      <c r="L63" s="2579">
        <v>80</v>
      </c>
      <c r="M63" s="2581">
        <v>0.02</v>
      </c>
      <c r="O63" s="2089" t="s">
        <v>1742</v>
      </c>
      <c r="P63" s="2090" t="s">
        <v>1759</v>
      </c>
      <c r="Q63" s="2091">
        <f ca="1">Q57+Q58</f>
        <v>27968</v>
      </c>
      <c r="R63" s="2094" t="s">
        <v>1743</v>
      </c>
    </row>
    <row r="64" spans="1:18" s="1782" customFormat="1" ht="16.5" thickBot="1">
      <c r="A64" s="1453" t="s">
        <v>1415</v>
      </c>
      <c r="B64" s="750" t="s">
        <v>626</v>
      </c>
      <c r="C64" s="51">
        <f ca="1">ROUND(C55*F64,2)</f>
        <v>16.329999999999998</v>
      </c>
      <c r="D64" s="2244" t="s">
        <v>627</v>
      </c>
      <c r="E64" s="750" t="s">
        <v>1276</v>
      </c>
      <c r="F64" s="783">
        <f t="shared" ca="1" si="0"/>
        <v>1.5E-3</v>
      </c>
      <c r="I64" s="2578" t="s">
        <v>1722</v>
      </c>
      <c r="J64" s="2579">
        <v>50</v>
      </c>
      <c r="K64" s="2579">
        <v>35</v>
      </c>
      <c r="L64" s="2579">
        <v>60</v>
      </c>
      <c r="M64" s="811">
        <v>0</v>
      </c>
      <c r="O64" s="2095" t="s">
        <v>1766</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1305</v>
      </c>
      <c r="B66" s="2484" t="s">
        <v>2096</v>
      </c>
      <c r="C66" s="765">
        <f ca="1">C47-C57</f>
        <v>-129</v>
      </c>
      <c r="D66" s="2243" t="s">
        <v>647</v>
      </c>
      <c r="E66" s="2242"/>
      <c r="F66" s="785"/>
      <c r="K66" s="1808"/>
      <c r="O66" s="2089" t="s">
        <v>1730</v>
      </c>
      <c r="P66" s="2090" t="s">
        <v>1760</v>
      </c>
      <c r="Q66" s="2091">
        <f ca="1">C40+J29</f>
        <v>27968</v>
      </c>
      <c r="R66" s="2090" t="s">
        <v>1731</v>
      </c>
    </row>
    <row r="67" spans="1:18" s="1782" customFormat="1" ht="20.25" thickBot="1">
      <c r="A67" s="747" t="s">
        <v>1309</v>
      </c>
      <c r="B67" s="1950" t="s">
        <v>1657</v>
      </c>
      <c r="C67" s="749">
        <f ca="1">ROUND(C66*(1-((1+F69)/(1+F67))^F68)/(F67-F69),0)</f>
        <v>-1964</v>
      </c>
      <c r="D67" s="779" t="s">
        <v>651</v>
      </c>
      <c r="E67" s="750" t="s">
        <v>652</v>
      </c>
      <c r="F67" s="760">
        <f ca="1">F40</f>
        <v>5.5E-2</v>
      </c>
      <c r="K67" s="1808"/>
      <c r="O67" s="2089" t="s">
        <v>1732</v>
      </c>
      <c r="P67" s="2090" t="s">
        <v>1763</v>
      </c>
      <c r="Q67" s="2091">
        <f ca="1">L60</f>
        <v>0</v>
      </c>
      <c r="R67" s="2094" t="s">
        <v>1765</v>
      </c>
    </row>
    <row r="68" spans="1:18" ht="21.75" thickBot="1">
      <c r="A68" s="752"/>
      <c r="B68" s="753"/>
      <c r="C68" s="754"/>
      <c r="D68" s="786" t="s">
        <v>1337</v>
      </c>
      <c r="E68" s="750" t="s">
        <v>1313</v>
      </c>
      <c r="F68" s="787">
        <f ca="1">F41</f>
        <v>33.92</v>
      </c>
      <c r="O68" s="2092" t="s">
        <v>1734</v>
      </c>
      <c r="P68" s="2090" t="s">
        <v>1764</v>
      </c>
      <c r="Q68" s="2096">
        <f ca="1">L51</f>
        <v>23775</v>
      </c>
      <c r="R68" s="2097" t="s">
        <v>1767</v>
      </c>
    </row>
    <row r="69" spans="1:18" ht="20.25" thickBot="1">
      <c r="A69" s="756"/>
      <c r="B69" s="757"/>
      <c r="C69" s="758"/>
      <c r="D69" s="781"/>
      <c r="E69" s="750" t="s">
        <v>657</v>
      </c>
      <c r="F69" s="2064"/>
      <c r="O69" s="2092" t="s">
        <v>1735</v>
      </c>
      <c r="P69" s="2098" t="s">
        <v>1749</v>
      </c>
      <c r="Q69" s="2091">
        <f ca="1">ROUND(Q70-Q71*Q72,0)</f>
        <v>1256</v>
      </c>
      <c r="R69" s="2094"/>
    </row>
    <row r="70" spans="1:18" ht="15.75" thickBot="1">
      <c r="A70" s="788" t="s">
        <v>1316</v>
      </c>
      <c r="B70" s="789" t="s">
        <v>1339</v>
      </c>
      <c r="C70" s="790">
        <f ca="1">ROUND(C67*10000/F70,0)</f>
        <v>-1765</v>
      </c>
      <c r="D70" s="791" t="s">
        <v>1340</v>
      </c>
      <c r="E70" s="792" t="s">
        <v>1341</v>
      </c>
      <c r="F70" s="793">
        <f ca="1">F43</f>
        <v>11128.710000000001</v>
      </c>
      <c r="O70" s="2092" t="s">
        <v>1750</v>
      </c>
      <c r="P70" s="2098" t="s">
        <v>1751</v>
      </c>
      <c r="Q70" s="2091">
        <f ca="1">C39</f>
        <v>1256</v>
      </c>
      <c r="R70" s="2090" t="s">
        <v>1731</v>
      </c>
    </row>
    <row r="71" spans="1:18" ht="15.75" thickBot="1">
      <c r="O71" s="2092" t="s">
        <v>1752</v>
      </c>
      <c r="P71" s="2098" t="s">
        <v>1753</v>
      </c>
      <c r="Q71" s="2091">
        <f ca="1">C13</f>
        <v>10889</v>
      </c>
      <c r="R71" s="2090" t="s">
        <v>1731</v>
      </c>
    </row>
    <row r="72" spans="1:18" ht="15.75" thickBot="1">
      <c r="O72" s="2092" t="s">
        <v>1754</v>
      </c>
      <c r="P72" s="2098" t="s">
        <v>1755</v>
      </c>
      <c r="Q72" s="2093">
        <f ca="1">J36</f>
        <v>0</v>
      </c>
      <c r="R72" s="2094"/>
    </row>
    <row r="73" spans="1:18" ht="15.75" thickBot="1">
      <c r="O73" s="2092" t="s">
        <v>1737</v>
      </c>
      <c r="P73" s="2090" t="s">
        <v>1744</v>
      </c>
      <c r="Q73" s="2093">
        <f>L52</f>
        <v>0</v>
      </c>
      <c r="R73" s="2094"/>
    </row>
    <row r="74" spans="1:18" ht="20.25" thickBot="1">
      <c r="O74" s="2092" t="s">
        <v>1739</v>
      </c>
      <c r="P74" s="2090" t="s">
        <v>1745</v>
      </c>
      <c r="Q74" s="2091" t="e">
        <f ca="1">L58</f>
        <v>#DIV/0!</v>
      </c>
      <c r="R74" s="2094" t="s">
        <v>1746</v>
      </c>
    </row>
    <row r="75" spans="1:18" ht="15.75" thickBot="1">
      <c r="O75" s="2092" t="s">
        <v>1768</v>
      </c>
      <c r="P75" s="2090" t="str">
        <f>K59</f>
        <v>建设期及建筑物耐用年限下的土地年期修正系数Kn</v>
      </c>
      <c r="Q75" s="2091" t="e">
        <f ca="1">L59</f>
        <v>#DIV/0!</v>
      </c>
      <c r="R75" s="2094" t="s">
        <v>1748</v>
      </c>
    </row>
    <row r="76" spans="1:18" ht="15.75" thickBot="1">
      <c r="O76" s="2089" t="s">
        <v>1742</v>
      </c>
      <c r="P76" s="2090" t="s">
        <v>1759</v>
      </c>
      <c r="Q76" s="2091">
        <f ca="1">Q66+Q67</f>
        <v>27968</v>
      </c>
      <c r="R76" s="2094"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M35" sqref="M35"/>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2734</v>
      </c>
      <c r="D1" s="2552" t="s">
        <v>3486</v>
      </c>
      <c r="E1" s="2078" t="s">
        <v>808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t="e">
        <f ca="1">C40+J29+L46</f>
        <v>#N/A</v>
      </c>
      <c r="C2" s="3004"/>
      <c r="D2" s="3005"/>
      <c r="E2" s="3006"/>
      <c r="F2" s="3006"/>
      <c r="G2" s="3000"/>
      <c r="H2" s="1780"/>
      <c r="I2" s="1780"/>
      <c r="J2" s="1780"/>
      <c r="K2" s="1781"/>
      <c r="L2" s="1780"/>
      <c r="M2" s="1780"/>
    </row>
    <row r="3" spans="1:33" ht="18" customHeight="1" thickBot="1">
      <c r="A3" s="798" t="s">
        <v>468</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579</v>
      </c>
      <c r="C4" s="744" t="s">
        <v>1259</v>
      </c>
      <c r="D4" s="744" t="s">
        <v>581</v>
      </c>
      <c r="E4" s="745" t="s">
        <v>1260</v>
      </c>
      <c r="F4" s="746"/>
      <c r="G4" s="1785"/>
      <c r="H4" s="743" t="s">
        <v>1257</v>
      </c>
      <c r="I4" s="744" t="s">
        <v>579</v>
      </c>
      <c r="J4" s="744" t="s">
        <v>1259</v>
      </c>
      <c r="K4" s="744" t="s">
        <v>581</v>
      </c>
      <c r="L4" s="745" t="s">
        <v>1260</v>
      </c>
      <c r="M4" s="746"/>
    </row>
    <row r="5" spans="1:33" ht="18" customHeight="1">
      <c r="A5" s="747">
        <v>1</v>
      </c>
      <c r="B5" s="748" t="s">
        <v>1799</v>
      </c>
      <c r="C5" s="53" t="e">
        <f ca="1">C6+C10+C12</f>
        <v>#N/A</v>
      </c>
      <c r="D5" s="2142" t="s">
        <v>1802</v>
      </c>
      <c r="E5" s="2136"/>
      <c r="F5" s="2137"/>
      <c r="G5" s="1785"/>
      <c r="H5" s="747">
        <v>1</v>
      </c>
      <c r="I5" s="748" t="s">
        <v>1799</v>
      </c>
      <c r="J5" s="53" t="e">
        <f ca="1">J6+J10+J12</f>
        <v>#N/A</v>
      </c>
      <c r="K5" s="2142" t="s">
        <v>1802</v>
      </c>
      <c r="L5" s="2136"/>
      <c r="M5" s="2137"/>
    </row>
    <row r="6" spans="1:33" ht="18" customHeight="1">
      <c r="A6" s="1616" t="s">
        <v>1353</v>
      </c>
      <c r="B6" s="4006" t="s">
        <v>1804</v>
      </c>
      <c r="C6" s="749" t="e">
        <f ca="1">ROUND(F6*F8*F7*(1-F9)/10000,0)</f>
        <v>#N/A</v>
      </c>
      <c r="D6" s="2143" t="s">
        <v>1803</v>
      </c>
      <c r="E6" s="750" t="s">
        <v>585</v>
      </c>
      <c r="F6" s="751" t="e">
        <f ca="1">INDIRECT("'数据-取费表'!u"&amp;$G$1)</f>
        <v>#N/A</v>
      </c>
      <c r="G6" s="1785"/>
      <c r="H6" s="2150" t="s">
        <v>1353</v>
      </c>
      <c r="I6" s="4006" t="s">
        <v>1804</v>
      </c>
      <c r="J6" s="749" t="e">
        <f ca="1">ROUND(M6*M8*M7*(1-M9)/10000,0)</f>
        <v>#N/A</v>
      </c>
      <c r="K6" s="332" t="s">
        <v>1266</v>
      </c>
      <c r="L6" s="750" t="s">
        <v>585</v>
      </c>
      <c r="M6" s="751" t="e">
        <f ca="1">INDIRECT("'数据-取费表'!z"&amp;$G$1)</f>
        <v>#N/A</v>
      </c>
    </row>
    <row r="7" spans="1:33" ht="18" customHeight="1">
      <c r="A7" s="2146"/>
      <c r="B7" s="4007"/>
      <c r="C7" s="754"/>
      <c r="D7" s="755"/>
      <c r="E7" s="750" t="s">
        <v>586</v>
      </c>
      <c r="F7" s="751" t="e">
        <f ca="1">IF(INDIRECT("'数据-取费表'!ah"&amp;$G$1)="",INDIRECT("'数据-取费表'!k"&amp;$G$1),INDIRECT("'数据-取费表'!ah"&amp;$G$1))</f>
        <v>#N/A</v>
      </c>
      <c r="G7" s="1785"/>
      <c r="H7" s="2135"/>
      <c r="I7" s="4007"/>
      <c r="J7" s="754"/>
      <c r="K7" s="755"/>
      <c r="L7" s="750" t="s">
        <v>586</v>
      </c>
      <c r="M7" s="751" t="e">
        <f ca="1">F7</f>
        <v>#N/A</v>
      </c>
    </row>
    <row r="8" spans="1:33" ht="18" customHeight="1">
      <c r="A8" s="2139"/>
      <c r="B8" s="4008"/>
      <c r="C8" s="754"/>
      <c r="D8" s="755"/>
      <c r="E8" s="750" t="s">
        <v>587</v>
      </c>
      <c r="F8" s="751" t="e">
        <f ca="1">INDIRECT("'数据-取费表'!ai"&amp;$G$1)</f>
        <v>#N/A</v>
      </c>
      <c r="G8" s="1785"/>
      <c r="H8" s="2135"/>
      <c r="I8" s="4008"/>
      <c r="J8" s="754"/>
      <c r="K8" s="755"/>
      <c r="L8" s="750" t="s">
        <v>587</v>
      </c>
      <c r="M8" s="751" t="e">
        <f ca="1">INDIRECT("'数据-取费表'!ai"&amp;$G$1)</f>
        <v>#N/A</v>
      </c>
    </row>
    <row r="9" spans="1:33" ht="18" customHeight="1">
      <c r="A9" s="752"/>
      <c r="B9" s="4009"/>
      <c r="C9" s="754"/>
      <c r="D9" s="755"/>
      <c r="E9" s="750" t="s">
        <v>588</v>
      </c>
      <c r="F9" s="760" t="e">
        <f ca="1">INDIRECT("'数据-取费表'!w"&amp;$G$1)</f>
        <v>#N/A</v>
      </c>
      <c r="G9" s="1785"/>
      <c r="H9" s="2151"/>
      <c r="I9" s="4008"/>
      <c r="J9" s="754"/>
      <c r="K9" s="755"/>
      <c r="L9" s="761" t="s">
        <v>588</v>
      </c>
      <c r="M9" s="762" t="e">
        <f ca="1">INDIRECT("'数据-取费表'!ab"&amp;$G$1)</f>
        <v>#N/A</v>
      </c>
    </row>
    <row r="10" spans="1:33" ht="18" customHeight="1">
      <c r="A10" s="1616" t="s">
        <v>1354</v>
      </c>
      <c r="B10" s="2140" t="s">
        <v>1800</v>
      </c>
      <c r="C10" s="765" t="e">
        <f ca="1">ROUND(IF(F10="押一",C6/12*F11,IF(F10="押二",C6/12*2*F11,IF(F10="押三",C6/12*3*F11,C11*F11))),0)</f>
        <v>#N/A</v>
      </c>
      <c r="D10" s="2147" t="s">
        <v>2224</v>
      </c>
      <c r="E10" s="2144" t="s">
        <v>1805</v>
      </c>
      <c r="F10" s="2228" t="s">
        <v>3487</v>
      </c>
      <c r="G10" s="1785"/>
      <c r="H10" s="2178" t="s">
        <v>1354</v>
      </c>
      <c r="I10" s="2183" t="s">
        <v>1800</v>
      </c>
      <c r="J10" s="749">
        <f ca="1">ROUND(IF(M10="押一",J6/12*M11,IF(M10="押二",J6/12*2*M11,IF(M10="押三",J6/12*3*M11,J11*M11))),0)</f>
        <v>0</v>
      </c>
      <c r="K10" s="2147" t="s">
        <v>2224</v>
      </c>
      <c r="L10" s="2144" t="s">
        <v>1805</v>
      </c>
      <c r="M10" s="2228"/>
    </row>
    <row r="11" spans="1:33" ht="18" customHeight="1">
      <c r="A11" s="756"/>
      <c r="B11" s="2141" t="s">
        <v>1853</v>
      </c>
      <c r="C11" s="2145"/>
      <c r="D11" s="755"/>
      <c r="E11" s="2144" t="s">
        <v>1798</v>
      </c>
      <c r="F11" s="762">
        <f ca="1">'数据-取费表'!B39</f>
        <v>1.4999999999999999E-2</v>
      </c>
      <c r="G11" s="1785"/>
      <c r="H11" s="2179"/>
      <c r="I11" s="2141" t="s">
        <v>1853</v>
      </c>
      <c r="J11" s="2145"/>
      <c r="K11" s="2180"/>
      <c r="L11" s="2144" t="s">
        <v>1798</v>
      </c>
      <c r="M11" s="2138">
        <f ca="1">'数据-取费表'!B39</f>
        <v>1.4999999999999999E-2</v>
      </c>
    </row>
    <row r="12" spans="1:33" ht="18" customHeight="1" thickBot="1">
      <c r="A12" s="2154" t="s">
        <v>1808</v>
      </c>
      <c r="B12" s="2155" t="s">
        <v>1801</v>
      </c>
      <c r="C12" s="2156"/>
      <c r="D12" s="2157"/>
      <c r="E12" s="2158"/>
      <c r="F12" s="2159"/>
      <c r="G12" s="1785"/>
      <c r="H12" s="2168" t="s">
        <v>1808</v>
      </c>
      <c r="I12" s="2181" t="s">
        <v>1801</v>
      </c>
      <c r="J12" s="2182"/>
      <c r="K12" s="2157"/>
      <c r="L12" s="2158"/>
      <c r="M12" s="2171"/>
    </row>
    <row r="13" spans="1:33" ht="18" customHeight="1" thickTop="1">
      <c r="A13" s="1615">
        <v>2</v>
      </c>
      <c r="B13" s="1613" t="s">
        <v>592</v>
      </c>
      <c r="C13" s="758" t="e">
        <f ca="1">ROUND(C29*F13,0)</f>
        <v>#N/A</v>
      </c>
      <c r="D13" s="1620" t="s">
        <v>1653</v>
      </c>
      <c r="E13" s="1620" t="s">
        <v>591</v>
      </c>
      <c r="F13" s="2153" t="e">
        <f ca="1">INDIRECT("'数据-取费表'!y"&amp;$G$1)</f>
        <v>#N/A</v>
      </c>
      <c r="G13" s="1785"/>
      <c r="H13" s="1615">
        <v>2</v>
      </c>
      <c r="I13" s="1613" t="s">
        <v>592</v>
      </c>
      <c r="J13" s="1605" t="e">
        <f ca="1">ROUND(J14*J15,0)</f>
        <v>#N/A</v>
      </c>
      <c r="K13" s="1607" t="s">
        <v>1272</v>
      </c>
      <c r="L13" s="2169"/>
      <c r="M13" s="2170"/>
    </row>
    <row r="14" spans="1:33" ht="18" customHeight="1">
      <c r="A14" s="1452" t="s">
        <v>1360</v>
      </c>
      <c r="B14" s="750" t="s">
        <v>593</v>
      </c>
      <c r="C14" s="770" t="e">
        <f ca="1">INDIRECT("'数据-取费表'!m"&amp;$G$1)+INDIRECT("'数据-取费表'!t"&amp;$G$1)</f>
        <v>#N/A</v>
      </c>
      <c r="D14" s="3691" t="s">
        <v>1274</v>
      </c>
      <c r="E14" s="3690"/>
      <c r="F14" s="771"/>
      <c r="G14" s="1785"/>
      <c r="H14" s="1453" t="s">
        <v>1353</v>
      </c>
      <c r="I14" s="1949" t="s">
        <v>2099</v>
      </c>
      <c r="J14" s="51" t="e">
        <f ca="1">C29</f>
        <v>#N/A</v>
      </c>
      <c r="K14" s="24"/>
      <c r="L14" s="767"/>
      <c r="M14" s="768"/>
    </row>
    <row r="15" spans="1:33" s="1787" customFormat="1" ht="18" customHeight="1" thickBot="1">
      <c r="A15" s="1452" t="s">
        <v>1361</v>
      </c>
      <c r="B15" s="750" t="s">
        <v>595</v>
      </c>
      <c r="C15" s="51" t="e">
        <f ca="1">ROUND(C14*F15,0)</f>
        <v>#N/A</v>
      </c>
      <c r="D15" s="772" t="s">
        <v>596</v>
      </c>
      <c r="E15" s="772" t="s">
        <v>597</v>
      </c>
      <c r="F15" s="773">
        <f>'数据-取费表'!B33</f>
        <v>0.05</v>
      </c>
      <c r="G15" s="3001"/>
      <c r="H15" s="2168" t="s">
        <v>1414</v>
      </c>
      <c r="I15" s="2163" t="s">
        <v>591</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t="e">
        <f ca="1">ROUND(INDIRECT("'数据-取费表'!m"&amp;$G$1)*F16,0)</f>
        <v>#N/A</v>
      </c>
      <c r="D16" s="750" t="s">
        <v>596</v>
      </c>
      <c r="E16" s="750" t="s">
        <v>597</v>
      </c>
      <c r="F16" s="775" t="e">
        <f ca="1">IF(INDIRECT("'数据-取费表'!c"&amp;$G$1)="住宅",'数据-取费表'!B34,0)</f>
        <v>#N/A</v>
      </c>
      <c r="G16" s="1785"/>
      <c r="H16" s="1615" t="s">
        <v>1277</v>
      </c>
      <c r="I16" s="1613" t="s">
        <v>599</v>
      </c>
      <c r="J16" s="758" t="e">
        <f ca="1">ROUND(J17+J22+J23+J24,0)</f>
        <v>#N/A</v>
      </c>
      <c r="K16" s="1607" t="s">
        <v>600</v>
      </c>
      <c r="L16" s="3694"/>
      <c r="M16" s="2137"/>
    </row>
    <row r="17" spans="1:33" s="1787" customFormat="1" ht="18" customHeight="1">
      <c r="A17" s="1452" t="s">
        <v>1412</v>
      </c>
      <c r="B17" s="750" t="s">
        <v>601</v>
      </c>
      <c r="C17" s="51" t="e">
        <f ca="1">ROUND(F17*(F43+INDIRECT("'数据-取费表'!S"&amp;$G$1))/10000,0)</f>
        <v>#N/A</v>
      </c>
      <c r="D17" s="750" t="s">
        <v>602</v>
      </c>
      <c r="E17" s="750" t="s">
        <v>603</v>
      </c>
      <c r="F17" s="54">
        <f>'数据-取费表'!B35</f>
        <v>200</v>
      </c>
      <c r="G17" s="3001"/>
      <c r="H17" s="1453" t="s">
        <v>1353</v>
      </c>
      <c r="I17" s="750" t="s">
        <v>604</v>
      </c>
      <c r="J17" s="2761" t="e">
        <f ca="1">ROUND(IF(AND(项目基本情况!B11="自然人",项目基本情况!B10="北京市"),J6*M17/(1+'数据-取费表'!C42),J18+J19+J20),2)</f>
        <v>#N/A</v>
      </c>
      <c r="K17" s="3691" t="s">
        <v>605</v>
      </c>
      <c r="L17" s="3692"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t="e">
        <f ca="1">ROUND(C14*F18,0)</f>
        <v>#N/A</v>
      </c>
      <c r="D18" s="750" t="s">
        <v>596</v>
      </c>
      <c r="E18" s="750" t="s">
        <v>597</v>
      </c>
      <c r="F18" s="775">
        <f>'数据-取费表'!B36</f>
        <v>1.4999999999999999E-2</v>
      </c>
      <c r="G18" s="3001"/>
      <c r="H18" s="1452" t="s">
        <v>1360</v>
      </c>
      <c r="I18" s="750" t="s">
        <v>1284</v>
      </c>
      <c r="J18" s="51" t="e">
        <f ca="1">ROUND(J6*M18/(1+'数据-取费表'!C42),2)</f>
        <v>#N/A</v>
      </c>
      <c r="K18" s="3692"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t="e">
        <f ca="1">SUM(C14:C18)</f>
        <v>#N/A</v>
      </c>
      <c r="D19" s="252" t="s">
        <v>1286</v>
      </c>
      <c r="E19" s="3699"/>
      <c r="F19" s="54"/>
      <c r="G19" s="1785"/>
      <c r="H19" s="1452" t="s">
        <v>1361</v>
      </c>
      <c r="I19" s="750" t="s">
        <v>612</v>
      </c>
      <c r="J19" s="51" t="e">
        <f ca="1">IF(K19="按租金收入计税",ROUND(J6*M19/(1+'数据-取费表'!C42),1),ROUND(C29*F33*0.7,2))</f>
        <v>#N/A</v>
      </c>
      <c r="K19" s="776" t="s">
        <v>3242</v>
      </c>
      <c r="L19" s="750" t="s">
        <v>597</v>
      </c>
      <c r="M19" s="775">
        <f>IF(K19="按租金收入计税",'数据-取费表'!B51,'数据-取费表'!B50)</f>
        <v>0.12</v>
      </c>
    </row>
    <row r="20" spans="1:33" s="1787" customFormat="1" ht="18" customHeight="1">
      <c r="A20" s="1453" t="s">
        <v>1414</v>
      </c>
      <c r="B20" s="750" t="s">
        <v>613</v>
      </c>
      <c r="C20" s="51" t="e">
        <f ca="1">ROUND(C19*F20,0)</f>
        <v>#N/A</v>
      </c>
      <c r="D20" s="777" t="s">
        <v>1288</v>
      </c>
      <c r="E20" s="750" t="s">
        <v>597</v>
      </c>
      <c r="F20" s="775">
        <f>'数据-取费表'!B37</f>
        <v>0.03</v>
      </c>
      <c r="G20" s="3001"/>
      <c r="H20" s="1455" t="s">
        <v>1362</v>
      </c>
      <c r="I20" s="332" t="s">
        <v>1289</v>
      </c>
      <c r="J20" s="52" t="e">
        <f ca="1">ROUND(M20*M21/10000,2)</f>
        <v>#N/A</v>
      </c>
      <c r="K20" s="779" t="s">
        <v>1290</v>
      </c>
      <c r="L20" s="750" t="s">
        <v>617</v>
      </c>
      <c r="M20" s="608">
        <f>'数据-取费表'!B52</f>
        <v>9</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1654</v>
      </c>
      <c r="E21" s="750" t="s">
        <v>1294</v>
      </c>
      <c r="F21" s="775">
        <f>'数据-取费表'!B38</f>
        <v>0.03</v>
      </c>
      <c r="G21" s="3001"/>
      <c r="H21" s="2152"/>
      <c r="I21" s="759"/>
      <c r="J21" s="67"/>
      <c r="K21" s="781"/>
      <c r="L21" s="750" t="s">
        <v>621</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99"/>
      <c r="F22" s="54"/>
      <c r="G22" s="1785"/>
      <c r="H22" s="1453" t="s">
        <v>1414</v>
      </c>
      <c r="I22" s="750" t="s">
        <v>623</v>
      </c>
      <c r="J22" s="51" t="e">
        <f ca="1">ROUND(J14*M22,2)</f>
        <v>#N/A</v>
      </c>
      <c r="K22" s="3692" t="s">
        <v>1298</v>
      </c>
      <c r="L22" s="750" t="s">
        <v>597</v>
      </c>
      <c r="M22" s="782" t="e">
        <f ca="1">INDIRECT("'数据-取费表'!Ak"&amp;$G$1)</f>
        <v>#N/A</v>
      </c>
    </row>
    <row r="23" spans="1:33" s="1787" customFormat="1" ht="18" customHeight="1">
      <c r="A23" s="1452" t="s">
        <v>1360</v>
      </c>
      <c r="B23" s="750" t="s">
        <v>1781</v>
      </c>
      <c r="C23" s="51" t="e">
        <f ca="1">ROUND(IF('数据-取费表'!B22&lt;=1,(C19+C20)*F24*F23/2,(C19+C20)*(POWER((1+F24),F23/2)-1)),0)</f>
        <v>#N/A</v>
      </c>
      <c r="D23" s="2186" t="str">
        <f>IF(F23&lt;=1,"(建造成本+管理费用)×利率×(建设周期÷2)","(建造成本+管理费用)×((1+利率)^(建设周期÷2)-1)")</f>
        <v>(建造成本+管理费用)×((1+利率)^(建设周期÷2)-1)</v>
      </c>
      <c r="E23" s="750" t="s">
        <v>1299</v>
      </c>
      <c r="F23" s="608">
        <f>'数据-取费表'!B20</f>
        <v>3</v>
      </c>
      <c r="G23" s="3001"/>
      <c r="H23" s="1453" t="s">
        <v>1415</v>
      </c>
      <c r="I23" s="750" t="s">
        <v>626</v>
      </c>
      <c r="J23" s="51" t="e">
        <f ca="1">ROUND(J13*M23,2)</f>
        <v>#N/A</v>
      </c>
      <c r="K23" s="3692" t="s">
        <v>1300</v>
      </c>
      <c r="L23" s="750" t="s">
        <v>597</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628</v>
      </c>
      <c r="C24" s="51">
        <f ca="1">ROUND(IF('数据-取费表'!B22&lt;=1,F21*F24*F23/2,F21*(POWER((1+F24),F23/2)-1)),4)</f>
        <v>1.9E-3</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t="e">
        <f ca="1">ROUND(J5*M24,2)</f>
        <v>#N/A</v>
      </c>
      <c r="K24" s="2162" t="s">
        <v>1303</v>
      </c>
      <c r="L24" s="2163" t="s">
        <v>597</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99"/>
      <c r="F25" s="54"/>
      <c r="G25" s="1785"/>
      <c r="H25" s="1615" t="s">
        <v>1305</v>
      </c>
      <c r="I25" s="2483" t="s">
        <v>2096</v>
      </c>
      <c r="J25" s="758" t="e">
        <f ca="1">J5-J16</f>
        <v>#N/A</v>
      </c>
      <c r="K25" s="2165" t="s">
        <v>1306</v>
      </c>
      <c r="L25" s="2166"/>
      <c r="M25" s="2167"/>
    </row>
    <row r="26" spans="1:33" ht="18" customHeight="1">
      <c r="A26" s="1452" t="s">
        <v>1360</v>
      </c>
      <c r="B26" s="750" t="s">
        <v>1782</v>
      </c>
      <c r="C26" s="51" t="e">
        <f ca="1">ROUND((C19+C20)*F26,0)</f>
        <v>#N/A</v>
      </c>
      <c r="D26" s="777" t="s">
        <v>1307</v>
      </c>
      <c r="E26" s="761" t="s">
        <v>649</v>
      </c>
      <c r="F26" s="760" t="e">
        <f ca="1">INDIRECT("'数据-取费表'!q"&amp;$G$1)</f>
        <v>#N/A</v>
      </c>
      <c r="G26" s="1785"/>
      <c r="H26" s="2148" t="s">
        <v>1309</v>
      </c>
      <c r="I26" s="1950" t="s">
        <v>2101</v>
      </c>
      <c r="J26" s="749" t="e">
        <f ca="1">IF(J5&lt;&gt;0,ROUND(J25*(1-((1+M28)/(1+M26))^M27)/(M26-M28),0),0)</f>
        <v>#N/A</v>
      </c>
      <c r="K26" s="779" t="s">
        <v>651</v>
      </c>
      <c r="L26" s="750" t="s">
        <v>1770</v>
      </c>
      <c r="M26" s="760" t="e">
        <f ca="1">INDIRECT("'数据-取费表'!I"&amp;$G$1)</f>
        <v>#N/A</v>
      </c>
    </row>
    <row r="27" spans="1:33" ht="18" customHeight="1">
      <c r="A27" s="1452" t="s">
        <v>1361</v>
      </c>
      <c r="B27" s="750" t="s">
        <v>633</v>
      </c>
      <c r="C27" s="51" t="e">
        <f ca="1">ROUND(F21*F26,4)</f>
        <v>#N/A</v>
      </c>
      <c r="D27" s="777" t="s">
        <v>653</v>
      </c>
      <c r="E27" s="772"/>
      <c r="F27" s="773"/>
      <c r="G27" s="1785"/>
      <c r="H27" s="2149"/>
      <c r="I27" s="753"/>
      <c r="J27" s="754"/>
      <c r="K27" s="786" t="s">
        <v>654</v>
      </c>
      <c r="L27" s="750" t="s">
        <v>655</v>
      </c>
      <c r="M27" s="787" t="e">
        <f ca="1">INDIRECT("'数据-取费表'!ag"&amp;$G$1)</f>
        <v>#N/A</v>
      </c>
    </row>
    <row r="28" spans="1:33" s="1787" customFormat="1" ht="18" customHeight="1">
      <c r="A28" s="1454" t="s">
        <v>1370</v>
      </c>
      <c r="B28" s="750" t="s">
        <v>634</v>
      </c>
      <c r="C28" s="51">
        <f>ROUND(F28/(1+'数据-取费表'!C42),4)</f>
        <v>5.33E-2</v>
      </c>
      <c r="D28" s="777" t="s">
        <v>1655</v>
      </c>
      <c r="E28" s="750" t="s">
        <v>597</v>
      </c>
      <c r="F28" s="775">
        <f>'数据-取费表'!B41</f>
        <v>5.6000000000000001E-2</v>
      </c>
      <c r="G28" s="3001"/>
      <c r="H28" s="1615"/>
      <c r="I28" s="757"/>
      <c r="J28" s="758"/>
      <c r="K28" s="781"/>
      <c r="L28" s="750" t="s">
        <v>657</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t="e">
        <f ca="1">ROUND((C19+C20+C23+C26)/(1-F21-C24-C27-C28),0)</f>
        <v>#N/A</v>
      </c>
      <c r="D29" s="2162"/>
      <c r="E29" s="2163"/>
      <c r="F29" s="2164"/>
      <c r="G29" s="3001"/>
      <c r="H29" s="788" t="s">
        <v>1316</v>
      </c>
      <c r="I29" s="789" t="s">
        <v>1317</v>
      </c>
      <c r="J29" s="790" t="e">
        <f ca="1">ROUND(J26/(1+F40)^F41,0)</f>
        <v>#N/A</v>
      </c>
      <c r="K29" s="791" t="s">
        <v>1318</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t="e">
        <f ca="1">ROUND(C31+C36+C37+C38,0)</f>
        <v>#N/A</v>
      </c>
      <c r="D30" s="1607" t="s">
        <v>600</v>
      </c>
      <c r="E30" s="3694"/>
      <c r="F30" s="2137"/>
      <c r="G30" s="1785"/>
      <c r="H30" s="1788"/>
      <c r="I30" s="1789"/>
      <c r="J30" s="1790"/>
      <c r="K30" s="1791"/>
      <c r="L30" s="1792"/>
      <c r="M30" s="1793"/>
    </row>
    <row r="31" spans="1:33" ht="18" customHeight="1">
      <c r="A31" s="1453" t="s">
        <v>1353</v>
      </c>
      <c r="B31" s="750" t="s">
        <v>604</v>
      </c>
      <c r="C31" s="2761" t="e">
        <f ca="1">ROUND(IF(AND(项目基本情况!B11="自然人",项目基本情况!B10="北京市"),C6*F31/(1+'数据-取费表'!C42),C32+C33+C34),2)</f>
        <v>#N/A</v>
      </c>
      <c r="D31" s="3691" t="s">
        <v>605</v>
      </c>
      <c r="E31" s="3692" t="s">
        <v>1322</v>
      </c>
      <c r="F31" s="2760" t="str">
        <f>IF(项目基本情况!B11="企业","——",IF(M47="住宅",IF(F6*F7*F8/12/(1+'数据-取费表'!F30)&gt;100000,4%,2.5%),IF(F6*F7*F8/12/(1+'数据-取费表'!F30)&gt;100000,12%,7%)))</f>
        <v>——</v>
      </c>
      <c r="G31" s="1785"/>
      <c r="H31" s="2998" t="s">
        <v>2275</v>
      </c>
      <c r="I31" s="1789"/>
      <c r="J31" s="1790"/>
      <c r="K31" s="1791"/>
      <c r="L31" s="1792"/>
      <c r="M31" s="1793"/>
    </row>
    <row r="32" spans="1:33" ht="18" customHeight="1">
      <c r="A32" s="1452" t="s">
        <v>1360</v>
      </c>
      <c r="B32" s="750" t="s">
        <v>1284</v>
      </c>
      <c r="C32" s="51" t="e">
        <f ca="1">ROUND(C6*F32/(1+'数据-取费表'!C42),2)</f>
        <v>#N/A</v>
      </c>
      <c r="D32" s="3692"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t="e">
        <f ca="1">IF(D33="按租金收入计税",ROUND(C6*F33/(1+'数据-取费表'!C42),2),IF(D33="按房产原值计税",ROUND(C29*F33*0.7,2),INDIRECT("'数据-取费表'!Aj"&amp;$G$1)))</f>
        <v>#N/A</v>
      </c>
      <c r="D33" s="776" t="s">
        <v>3242</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1289</v>
      </c>
      <c r="C34" s="52" t="e">
        <f ca="1">ROUND(F34*F35/10000,2)</f>
        <v>#N/A</v>
      </c>
      <c r="D34" s="779" t="s">
        <v>1290</v>
      </c>
      <c r="E34" s="750" t="s">
        <v>617</v>
      </c>
      <c r="F34" s="608">
        <f>'数据-取费表'!B52</f>
        <v>9</v>
      </c>
      <c r="G34" s="1785"/>
      <c r="H34" s="1788"/>
      <c r="I34" s="800" t="s">
        <v>1342</v>
      </c>
      <c r="J34" s="801"/>
      <c r="K34" s="1803"/>
      <c r="L34" s="1802"/>
      <c r="M34" s="1802"/>
    </row>
    <row r="35" spans="1:18" ht="18" customHeight="1">
      <c r="A35" s="780"/>
      <c r="B35" s="759"/>
      <c r="C35" s="67"/>
      <c r="D35" s="781"/>
      <c r="E35" s="750" t="s">
        <v>621</v>
      </c>
      <c r="F35" s="751" t="e">
        <f ca="1">INDIRECT("'数据-取费表'!r"&amp;$G$1)</f>
        <v>#N/A</v>
      </c>
      <c r="G35" s="1785"/>
      <c r="H35" s="1788"/>
      <c r="I35" s="802" t="s">
        <v>1343</v>
      </c>
      <c r="J35" s="803" t="e">
        <f ca="1">ROUND(C13*J36,0)</f>
        <v>#N/A</v>
      </c>
      <c r="K35" s="1801"/>
      <c r="L35" s="1800"/>
      <c r="M35" s="1800"/>
    </row>
    <row r="36" spans="1:18" ht="18" customHeight="1">
      <c r="A36" s="1453" t="s">
        <v>1414</v>
      </c>
      <c r="B36" s="750" t="s">
        <v>623</v>
      </c>
      <c r="C36" s="51" t="e">
        <f ca="1">ROUND(C29*F36,2)</f>
        <v>#N/A</v>
      </c>
      <c r="D36" s="3692" t="s">
        <v>1332</v>
      </c>
      <c r="E36" s="750" t="s">
        <v>597</v>
      </c>
      <c r="F36" s="782" t="e">
        <f ca="1">INDIRECT("'数据-取费表'!Ak"&amp;$G$1)</f>
        <v>#N/A</v>
      </c>
      <c r="G36" s="1785"/>
      <c r="H36" s="1800"/>
      <c r="I36" s="804" t="s">
        <v>1344</v>
      </c>
      <c r="J36" s="805" t="e">
        <f ca="1">INDIRECT("'数据-取费表'!j"&amp;$G$1)</f>
        <v>#N/A</v>
      </c>
      <c r="K36" s="1804"/>
      <c r="L36" s="1800"/>
      <c r="M36" s="1800"/>
    </row>
    <row r="37" spans="1:18" ht="18" customHeight="1">
      <c r="A37" s="1453" t="s">
        <v>1415</v>
      </c>
      <c r="B37" s="750" t="s">
        <v>626</v>
      </c>
      <c r="C37" s="51" t="e">
        <f ca="1">ROUND(C13*F37,2)</f>
        <v>#N/A</v>
      </c>
      <c r="D37" s="3692" t="s">
        <v>1300</v>
      </c>
      <c r="E37" s="750" t="s">
        <v>597</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1303</v>
      </c>
      <c r="E38" s="2163" t="s">
        <v>597</v>
      </c>
      <c r="F38" s="2159" t="e">
        <f ca="1">INDIRECT("'数据-取费表'!Am"&amp;$G$1)</f>
        <v>#N/A</v>
      </c>
      <c r="G38" s="1785"/>
      <c r="H38" s="1800"/>
      <c r="I38" s="808" t="s">
        <v>1346</v>
      </c>
      <c r="J38" s="809"/>
      <c r="K38" s="1805"/>
      <c r="L38" s="1800"/>
      <c r="M38" s="1800"/>
    </row>
    <row r="39" spans="1:18" ht="24.6" customHeight="1" thickTop="1">
      <c r="A39" s="1615" t="s">
        <v>1305</v>
      </c>
      <c r="B39" s="2483" t="s">
        <v>2096</v>
      </c>
      <c r="C39" s="758" t="e">
        <f ca="1">C5-C30</f>
        <v>#N/A</v>
      </c>
      <c r="D39" s="2165" t="s">
        <v>1306</v>
      </c>
      <c r="E39" s="2166"/>
      <c r="F39" s="2167"/>
      <c r="G39" s="1785"/>
      <c r="H39" s="1800"/>
      <c r="I39" s="802" t="s">
        <v>1347</v>
      </c>
      <c r="J39" s="810" t="e">
        <f ca="1">ROUND(J35/C39,3)</f>
        <v>#N/A</v>
      </c>
      <c r="K39" s="1805"/>
      <c r="L39" s="1800"/>
      <c r="M39" s="1800"/>
    </row>
    <row r="40" spans="1:18" ht="18" customHeight="1">
      <c r="A40" s="747" t="s">
        <v>1309</v>
      </c>
      <c r="B40" s="1950" t="s">
        <v>1657</v>
      </c>
      <c r="C40" s="749" t="e">
        <f ca="1">ROUND(C39*(1-((1+F42)/(1+F40))^F41)/(F40-F42),0)</f>
        <v>#N/A</v>
      </c>
      <c r="D40" s="779" t="s">
        <v>651</v>
      </c>
      <c r="E40" s="750" t="s">
        <v>1770</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655</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657</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t="e">
        <f ca="1">C67-C40</f>
        <v>#N/A</v>
      </c>
      <c r="D46" s="3002"/>
      <c r="E46" s="3002"/>
      <c r="F46" s="3002"/>
      <c r="I46" s="2069" t="s">
        <v>1694</v>
      </c>
      <c r="J46" s="2070"/>
      <c r="K46" s="2071"/>
      <c r="L46" s="2565">
        <f>IF(OR(M47="住宅",D1="土地（套用方法）"),0,IF(L48&gt;J51,L60,J60))</f>
        <v>0</v>
      </c>
      <c r="M46" s="3003"/>
      <c r="O46" s="2085" t="s">
        <v>1761</v>
      </c>
      <c r="P46" s="1404"/>
      <c r="Q46" s="1412"/>
      <c r="R46" s="1404"/>
    </row>
    <row r="47" spans="1:18" s="1782" customFormat="1" ht="18" customHeight="1" thickBot="1">
      <c r="A47" s="3653">
        <v>1</v>
      </c>
      <c r="B47" s="3654" t="s">
        <v>583</v>
      </c>
      <c r="C47" s="3655" t="e">
        <f ca="1">C48+C52+C54</f>
        <v>#N/A</v>
      </c>
      <c r="D47" s="3656"/>
      <c r="E47" s="3656"/>
      <c r="F47" s="3657"/>
      <c r="I47" s="2556" t="s">
        <v>1695</v>
      </c>
      <c r="J47" s="2072" t="s">
        <v>3479</v>
      </c>
      <c r="K47" s="2562" t="s">
        <v>1700</v>
      </c>
      <c r="L47" s="2566" t="e">
        <f ca="1">INDIRECT("'数据-取费表'!d"&amp;$G$1)</f>
        <v>#N/A</v>
      </c>
      <c r="M47" s="1412" t="str">
        <f>IF(ISNUMBER(FIND("住宅",C1)),"住宅","非住宅")</f>
        <v>非住宅</v>
      </c>
      <c r="O47" s="2086" t="s">
        <v>1726</v>
      </c>
      <c r="P47" s="2087" t="s">
        <v>1727</v>
      </c>
      <c r="Q47" s="2088" t="s">
        <v>1728</v>
      </c>
      <c r="R47" s="2087" t="s">
        <v>1729</v>
      </c>
    </row>
    <row r="48" spans="1:18" s="1782" customFormat="1" ht="18" customHeight="1" thickBot="1">
      <c r="A48" s="2247" t="s">
        <v>1395</v>
      </c>
      <c r="B48" s="2248" t="s">
        <v>1818</v>
      </c>
      <c r="C48" s="2065" t="e">
        <f ca="1">ROUND(F48*F50*F49*(1-F51)/10000,0)</f>
        <v>#N/A</v>
      </c>
      <c r="D48" s="2066" t="s">
        <v>584</v>
      </c>
      <c r="E48" s="2067" t="s">
        <v>1652</v>
      </c>
      <c r="F48" s="2068" t="e">
        <f ca="1">M6</f>
        <v>#N/A</v>
      </c>
      <c r="G48" s="1812"/>
      <c r="I48" s="2553" t="s">
        <v>1696</v>
      </c>
      <c r="J48" s="2073" t="s">
        <v>1701</v>
      </c>
      <c r="K48" s="2563" t="s">
        <v>1702</v>
      </c>
      <c r="L48" s="1663" t="e">
        <f ca="1">INDIRECT("'数据-取费表'!f"&amp;$G$1)</f>
        <v>#N/A</v>
      </c>
      <c r="M48" s="3003"/>
      <c r="O48" s="2089" t="s">
        <v>1730</v>
      </c>
      <c r="P48" s="2090" t="s">
        <v>1756</v>
      </c>
      <c r="Q48" s="2091" t="e">
        <f ca="1">C40+J29</f>
        <v>#N/A</v>
      </c>
      <c r="R48" s="2090" t="s">
        <v>1731</v>
      </c>
    </row>
    <row r="49" spans="1:18" s="1782" customFormat="1" ht="18" customHeight="1" thickBot="1">
      <c r="A49" s="752"/>
      <c r="B49" s="753"/>
      <c r="C49" s="754"/>
      <c r="D49" s="755"/>
      <c r="E49" s="750" t="s">
        <v>586</v>
      </c>
      <c r="F49" s="751" t="e">
        <f ca="1">F7</f>
        <v>#N/A</v>
      </c>
      <c r="G49" s="1812"/>
      <c r="H49" s="1815"/>
      <c r="I49" s="2553" t="s">
        <v>1697</v>
      </c>
      <c r="J49" s="2074"/>
      <c r="K49" s="2564" t="s">
        <v>1703</v>
      </c>
      <c r="L49" s="2075"/>
      <c r="M49" s="3003"/>
      <c r="O49" s="2089" t="s">
        <v>1732</v>
      </c>
      <c r="P49" s="2090" t="s">
        <v>1757</v>
      </c>
      <c r="Q49" s="2091" t="e">
        <f ca="1">J60</f>
        <v>#N/A</v>
      </c>
      <c r="R49" s="2090" t="s">
        <v>1733</v>
      </c>
    </row>
    <row r="50" spans="1:18" s="1782" customFormat="1" ht="18" customHeight="1" thickBot="1">
      <c r="A50" s="752"/>
      <c r="B50" s="753"/>
      <c r="C50" s="754"/>
      <c r="D50" s="755"/>
      <c r="E50" s="750" t="s">
        <v>587</v>
      </c>
      <c r="F50" s="751" t="e">
        <f ca="1">F8</f>
        <v>#N/A</v>
      </c>
      <c r="G50" s="1817"/>
      <c r="H50" s="1815"/>
      <c r="I50" s="2553" t="s">
        <v>1698</v>
      </c>
      <c r="J50" s="2560">
        <f>SUMPRODUCT((I63:I65=J47)*(J62:L62=J48)*(J63:L65))</f>
        <v>60</v>
      </c>
      <c r="K50" s="2564" t="s">
        <v>1704</v>
      </c>
      <c r="L50" s="2075"/>
      <c r="M50" s="3003"/>
      <c r="O50" s="2092" t="s">
        <v>1734</v>
      </c>
      <c r="P50" s="2090" t="s">
        <v>1758</v>
      </c>
      <c r="Q50" s="2091" t="e">
        <f ca="1">C29</f>
        <v>#N/A</v>
      </c>
      <c r="R50" s="2090" t="s">
        <v>1731</v>
      </c>
    </row>
    <row r="51" spans="1:18" s="1782" customFormat="1" ht="18" customHeight="1" thickBot="1">
      <c r="A51" s="752"/>
      <c r="B51" s="753"/>
      <c r="C51" s="754"/>
      <c r="D51" s="755"/>
      <c r="E51" s="750" t="s">
        <v>588</v>
      </c>
      <c r="F51" s="2064"/>
      <c r="H51" s="1815"/>
      <c r="I51" s="2557" t="s">
        <v>1699</v>
      </c>
      <c r="J51" s="2561">
        <f>IF(J49="",J50,J49+J50-YEAR('数据-取费表'!B2))</f>
        <v>60</v>
      </c>
      <c r="K51" s="2553" t="s">
        <v>1705</v>
      </c>
      <c r="L51" s="2567" t="e">
        <f ca="1">ROUND(-PV(INDIRECT("'数据-取费表'!h"&amp;$G$1),J51,(C39-C13*J36),0),0)</f>
        <v>#N/A</v>
      </c>
      <c r="M51" s="3003"/>
      <c r="O51" s="2092" t="s">
        <v>1735</v>
      </c>
      <c r="P51" s="2090" t="s">
        <v>1736</v>
      </c>
      <c r="Q51" s="2093" t="e">
        <f ca="1">J58</f>
        <v>#N/A</v>
      </c>
      <c r="R51" s="2094"/>
    </row>
    <row r="52" spans="1:18" s="1782" customFormat="1" ht="18" customHeight="1" thickBot="1">
      <c r="A52" s="747" t="s">
        <v>1816</v>
      </c>
      <c r="B52" s="2140" t="s">
        <v>1800</v>
      </c>
      <c r="C52" s="765">
        <f ca="1">ROUND(IF(F52="押一",C48/12*F11,IF(F52="押二",C48/12*2*F11,IF(F52="押三",C48/12*3*F11,C53*F11))),0)</f>
        <v>0</v>
      </c>
      <c r="D52" s="2147" t="s">
        <v>2224</v>
      </c>
      <c r="E52" s="2144" t="s">
        <v>1805</v>
      </c>
      <c r="F52" s="2228"/>
      <c r="I52" s="2558" t="s">
        <v>1772</v>
      </c>
      <c r="J52" s="2076"/>
      <c r="K52" s="2558" t="s">
        <v>1771</v>
      </c>
      <c r="L52" s="2076"/>
      <c r="M52" s="3003"/>
      <c r="O52" s="2092" t="s">
        <v>1737</v>
      </c>
      <c r="P52" s="2090" t="s">
        <v>1738</v>
      </c>
      <c r="Q52" s="2093">
        <f>J52</f>
        <v>0</v>
      </c>
      <c r="R52" s="2094"/>
    </row>
    <row r="53" spans="1:18" s="1782" customFormat="1" ht="39.75" customHeight="1" thickBot="1">
      <c r="A53" s="752"/>
      <c r="B53" s="2141" t="s">
        <v>1853</v>
      </c>
      <c r="C53" s="2145"/>
      <c r="D53" s="2147"/>
      <c r="E53" s="2144"/>
      <c r="F53" s="766"/>
      <c r="I53" s="2559" t="s">
        <v>2228</v>
      </c>
      <c r="J53" s="2610" t="e">
        <f ca="1">IF(M47="住宅",IF(D1="——",MAX(J51,L48),MAX(J51,L48-'数据-取费表'!B20)),IF(D1="——",MIN(J51,L48),MIN(J51,L48-'数据-取费表'!B20)))</f>
        <v>#N/A</v>
      </c>
      <c r="K53" s="4046" t="s">
        <v>2218</v>
      </c>
      <c r="L53" s="4047"/>
      <c r="M53" s="3003"/>
      <c r="O53" s="2092" t="s">
        <v>1739</v>
      </c>
      <c r="P53" s="2090" t="s">
        <v>1740</v>
      </c>
      <c r="Q53" s="2091" t="e">
        <f ca="1">J53</f>
        <v>#N/A</v>
      </c>
      <c r="R53" s="2090" t="s">
        <v>1741</v>
      </c>
    </row>
    <row r="54" spans="1:18" s="1782" customFormat="1" ht="18" customHeight="1" thickBot="1">
      <c r="A54" s="2154" t="s">
        <v>1808</v>
      </c>
      <c r="B54" s="2155" t="s">
        <v>1801</v>
      </c>
      <c r="C54" s="2156"/>
      <c r="D54" s="2147"/>
      <c r="E54" s="2144"/>
      <c r="F54" s="766"/>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3003"/>
      <c r="O54" s="2089" t="s">
        <v>1742</v>
      </c>
      <c r="P54" s="2090" t="s">
        <v>1759</v>
      </c>
      <c r="Q54" s="2091" t="e">
        <f ca="1">Q48+Q49</f>
        <v>#N/A</v>
      </c>
      <c r="R54" s="2094" t="s">
        <v>1743</v>
      </c>
    </row>
    <row r="55" spans="1:18" s="1782" customFormat="1" ht="18" customHeight="1" thickTop="1" thickBot="1">
      <c r="A55" s="763">
        <v>2</v>
      </c>
      <c r="B55" s="764" t="s">
        <v>592</v>
      </c>
      <c r="C55" s="765" t="e">
        <f ca="1">C13</f>
        <v>#N/A</v>
      </c>
      <c r="D55" s="761"/>
      <c r="E55" s="761"/>
      <c r="F55" s="766"/>
      <c r="I55" s="2570" t="s">
        <v>1706</v>
      </c>
      <c r="J55" s="2542" t="e">
        <f ca="1">ROUND(IF(J47="钢混",J57/J50,1-(1-2%)*(J50-J57)/J50),3)</f>
        <v>#N/A</v>
      </c>
      <c r="K55" s="2571" t="s">
        <v>1707</v>
      </c>
      <c r="L55" s="2077"/>
      <c r="M55" s="3003"/>
      <c r="O55" s="2095" t="s">
        <v>1762</v>
      </c>
      <c r="P55" s="1404"/>
      <c r="Q55" s="1412"/>
      <c r="R55" s="1404"/>
    </row>
    <row r="56" spans="1:18" s="1782" customFormat="1" ht="42.75" customHeight="1" thickBot="1">
      <c r="A56" s="1454"/>
      <c r="B56" s="1949" t="s">
        <v>1656</v>
      </c>
      <c r="C56" s="51" t="e">
        <f ca="1">C29</f>
        <v>#N/A</v>
      </c>
      <c r="D56" s="3692"/>
      <c r="E56" s="750"/>
      <c r="F56" s="775"/>
      <c r="I56" s="2572" t="s">
        <v>1708</v>
      </c>
      <c r="J56" s="2582" t="s">
        <v>3267</v>
      </c>
      <c r="K56" s="2553" t="s">
        <v>1713</v>
      </c>
      <c r="L56" s="1663" t="e">
        <f ca="1">IF(L48&lt;J51,"——",L48-J51)</f>
        <v>#N/A</v>
      </c>
      <c r="M56" s="3003"/>
      <c r="O56" s="2086" t="s">
        <v>1726</v>
      </c>
      <c r="P56" s="2087" t="s">
        <v>1727</v>
      </c>
      <c r="Q56" s="2088" t="s">
        <v>1728</v>
      </c>
      <c r="R56" s="2087" t="s">
        <v>1729</v>
      </c>
    </row>
    <row r="57" spans="1:18" s="1782" customFormat="1" ht="28.5" customHeight="1" thickBot="1">
      <c r="A57" s="763" t="s">
        <v>1277</v>
      </c>
      <c r="B57" s="764" t="s">
        <v>599</v>
      </c>
      <c r="C57" s="765" t="e">
        <f ca="1">ROUND(C58+C63+C64+C65,0)</f>
        <v>#N/A</v>
      </c>
      <c r="D57" s="24" t="s">
        <v>600</v>
      </c>
      <c r="E57" s="3699"/>
      <c r="F57" s="54"/>
      <c r="I57" s="2573" t="s">
        <v>1709</v>
      </c>
      <c r="J57" s="2574" t="e">
        <f ca="1">IF(OR(M47="住宅",J51&lt;L48,J56="是"),"——",J51-L48)</f>
        <v>#N/A</v>
      </c>
      <c r="K57" s="2553" t="s">
        <v>1714</v>
      </c>
      <c r="L57" s="1663" t="e">
        <f ca="1">IF(L48&lt;J51,"——",IF(L55="比较法",L49,IF(L55="基准地价",L50,L51)))</f>
        <v>#N/A</v>
      </c>
      <c r="M57" s="3003"/>
      <c r="O57" s="2089" t="s">
        <v>1730</v>
      </c>
      <c r="P57" s="2090" t="s">
        <v>1756</v>
      </c>
      <c r="Q57" s="2091" t="e">
        <f ca="1">C40+J29</f>
        <v>#N/A</v>
      </c>
      <c r="R57" s="2090" t="s">
        <v>1731</v>
      </c>
    </row>
    <row r="58" spans="1:18" s="1782" customFormat="1" ht="28.5" customHeight="1" thickBot="1">
      <c r="A58" s="1453" t="s">
        <v>1353</v>
      </c>
      <c r="B58" s="750" t="s">
        <v>604</v>
      </c>
      <c r="C58" s="2761" t="e">
        <f ca="1">ROUND(IF(AND(项目基本情况!B11="自然人",项目基本情况!B10="北京市"),C48*F58/(1+'数据-取费表'!C42),C59+C60+C61),2)</f>
        <v>#N/A</v>
      </c>
      <c r="D58" s="3691" t="s">
        <v>605</v>
      </c>
      <c r="E58" s="3692" t="s">
        <v>637</v>
      </c>
      <c r="F58" s="2760" t="str">
        <f>IF(项目基本情况!B11="企业","——",IF('数据-取费表'!B10="住宅",IF(F48*F49*F50/12/(1+'数据-取费表'!F30)&gt;100000,4%,2.5%),IF(F48*F49*F50/12/(1+'数据-取费表'!F30)&gt;100000,12%,7%)))</f>
        <v>——</v>
      </c>
      <c r="I58" s="2573" t="s">
        <v>1710</v>
      </c>
      <c r="J58" s="2543" t="e">
        <f ca="1">IF(J55&lt;0.4,0.4,J55)</f>
        <v>#N/A</v>
      </c>
      <c r="K58" s="2553" t="s">
        <v>1715</v>
      </c>
      <c r="L58" s="1663" t="e">
        <f ca="1">ROUND(POWER(1+L52,L47-L48)*(POWER(1+L52,L48)-1)/(POWER(1+L52,L47)-1),4)</f>
        <v>#N/A</v>
      </c>
      <c r="M58" s="3003"/>
      <c r="O58" s="2089" t="s">
        <v>1732</v>
      </c>
      <c r="P58" s="2090" t="s">
        <v>1763</v>
      </c>
      <c r="Q58" s="2091" t="e">
        <f ca="1">L60</f>
        <v>#N/A</v>
      </c>
      <c r="R58" s="2094" t="s">
        <v>1765</v>
      </c>
    </row>
    <row r="59" spans="1:18" s="1782" customFormat="1" ht="28.5" customHeight="1" thickBot="1">
      <c r="A59" s="1452" t="s">
        <v>1360</v>
      </c>
      <c r="B59" s="750" t="s">
        <v>608</v>
      </c>
      <c r="C59" s="51" t="e">
        <f ca="1">ROUND(C47*F59/1.05,2)</f>
        <v>#N/A</v>
      </c>
      <c r="D59" s="3692" t="s">
        <v>609</v>
      </c>
      <c r="E59" s="750" t="s">
        <v>597</v>
      </c>
      <c r="F59" s="775">
        <f t="shared" ref="F59:F65" si="0">F32</f>
        <v>5.6000000000000001E-2</v>
      </c>
      <c r="I59" s="2573" t="s">
        <v>1711</v>
      </c>
      <c r="J59" s="2574" t="e">
        <f ca="1">IF(OR(M47="住宅",J51&lt;L48,J56="是"),"——",ROUND(C29*J58,0))</f>
        <v>#N/A</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#N/A</v>
      </c>
      <c r="M59" s="3003"/>
      <c r="O59" s="2092" t="s">
        <v>1734</v>
      </c>
      <c r="P59" s="2090" t="s">
        <v>1764</v>
      </c>
      <c r="Q59" s="2091">
        <f>IF(L55="比较法",L49,IF(L55="基准地价",L50,0))</f>
        <v>0</v>
      </c>
      <c r="R59" s="2090" t="s">
        <v>1731</v>
      </c>
    </row>
    <row r="60" spans="1:18" s="1782" customFormat="1" ht="18" customHeight="1" thickBot="1">
      <c r="A60" s="1452" t="s">
        <v>1361</v>
      </c>
      <c r="B60" s="750" t="s">
        <v>612</v>
      </c>
      <c r="C60" s="51" t="e">
        <f ca="1">IF(D60="按租金收入计税",ROUND(C48*F60/(1+'数据-取费表'!C42),2),IF(D60="按房产原值计税",ROUND(C56*F60*0.7,2),INDIRECT("'数据-取费表'!Aj"&amp;$G$1)))</f>
        <v>#N/A</v>
      </c>
      <c r="D60" s="3692" t="str">
        <f>D33</f>
        <v>按租金收入计税</v>
      </c>
      <c r="E60" s="750" t="s">
        <v>597</v>
      </c>
      <c r="F60" s="775">
        <f t="shared" si="0"/>
        <v>0.12</v>
      </c>
      <c r="I60" s="2575" t="s">
        <v>1712</v>
      </c>
      <c r="J60" s="2576" t="e">
        <f ca="1">IF(OR(M47="住宅",J51&lt;L48,J56="是"),"0",ROUND(J59/(1+J52)^J53,0))</f>
        <v>#N/A</v>
      </c>
      <c r="K60" s="2577" t="s">
        <v>1717</v>
      </c>
      <c r="L60" s="2576" t="e">
        <f ca="1">IF(OR(M47="住宅",L48&lt;J51),0,ROUND(L57*(L58/L59-1),0))</f>
        <v>#N/A</v>
      </c>
      <c r="M60" s="3003"/>
      <c r="O60" s="2092" t="s">
        <v>1735</v>
      </c>
      <c r="P60" s="2090" t="s">
        <v>1744</v>
      </c>
      <c r="Q60" s="2093">
        <f>L52</f>
        <v>0</v>
      </c>
      <c r="R60" s="2094"/>
    </row>
    <row r="61" spans="1:18" s="1782" customFormat="1" ht="18" customHeight="1" thickBot="1">
      <c r="A61" s="1455" t="s">
        <v>1362</v>
      </c>
      <c r="B61" s="332" t="s">
        <v>615</v>
      </c>
      <c r="C61" s="52" t="e">
        <f ca="1">ROUND(F61*F62/10000,2)</f>
        <v>#N/A</v>
      </c>
      <c r="D61" s="779" t="s">
        <v>616</v>
      </c>
      <c r="E61" s="750" t="s">
        <v>617</v>
      </c>
      <c r="F61" s="608">
        <f t="shared" si="0"/>
        <v>9</v>
      </c>
      <c r="K61" s="1808"/>
      <c r="O61" s="2092" t="s">
        <v>1737</v>
      </c>
      <c r="P61" s="2090" t="s">
        <v>1745</v>
      </c>
      <c r="Q61" s="2091" t="e">
        <f ca="1">L58</f>
        <v>#N/A</v>
      </c>
      <c r="R61" s="2094" t="s">
        <v>1746</v>
      </c>
    </row>
    <row r="62" spans="1:18" s="1782" customFormat="1" ht="15.75" thickBot="1">
      <c r="A62" s="780"/>
      <c r="B62" s="759"/>
      <c r="C62" s="67"/>
      <c r="D62" s="781"/>
      <c r="E62" s="750" t="s">
        <v>621</v>
      </c>
      <c r="F62" s="751" t="e">
        <f t="shared" ca="1" si="0"/>
        <v>#N/A</v>
      </c>
      <c r="I62" s="2578" t="s">
        <v>1718</v>
      </c>
      <c r="J62" s="2579" t="s">
        <v>1719</v>
      </c>
      <c r="K62" s="2579" t="s">
        <v>1720</v>
      </c>
      <c r="L62" s="2579" t="s">
        <v>1701</v>
      </c>
      <c r="M62" s="2580" t="s">
        <v>2197</v>
      </c>
      <c r="O62" s="2092" t="s">
        <v>1739</v>
      </c>
      <c r="P62" s="2090" t="str">
        <f>K59</f>
        <v>建设期及建筑物耐用年限下的土地年期修正系数Kn</v>
      </c>
      <c r="Q62" s="2091" t="e">
        <f ca="1">L59</f>
        <v>#N/A</v>
      </c>
      <c r="R62" s="2094" t="s">
        <v>1748</v>
      </c>
    </row>
    <row r="63" spans="1:18" s="1782" customFormat="1" ht="15.75" thickBot="1">
      <c r="A63" s="1453" t="s">
        <v>1414</v>
      </c>
      <c r="B63" s="750" t="s">
        <v>623</v>
      </c>
      <c r="C63" s="51" t="e">
        <f ca="1">ROUND(C56*F63,2)</f>
        <v>#N/A</v>
      </c>
      <c r="D63" s="3692" t="s">
        <v>1332</v>
      </c>
      <c r="E63" s="750" t="s">
        <v>597</v>
      </c>
      <c r="F63" s="782" t="e">
        <f t="shared" ca="1" si="0"/>
        <v>#N/A</v>
      </c>
      <c r="I63" s="2578" t="s">
        <v>1721</v>
      </c>
      <c r="J63" s="2579">
        <v>70</v>
      </c>
      <c r="K63" s="2579">
        <v>50</v>
      </c>
      <c r="L63" s="2579">
        <v>80</v>
      </c>
      <c r="M63" s="2581">
        <v>0.02</v>
      </c>
      <c r="O63" s="2089" t="s">
        <v>1742</v>
      </c>
      <c r="P63" s="2090" t="s">
        <v>1759</v>
      </c>
      <c r="Q63" s="2091" t="e">
        <f ca="1">Q57+Q58</f>
        <v>#N/A</v>
      </c>
      <c r="R63" s="2094" t="s">
        <v>1743</v>
      </c>
    </row>
    <row r="64" spans="1:18" s="1782" customFormat="1" ht="16.5" thickBot="1">
      <c r="A64" s="1453" t="s">
        <v>1415</v>
      </c>
      <c r="B64" s="750" t="s">
        <v>626</v>
      </c>
      <c r="C64" s="51" t="e">
        <f ca="1">ROUND(C55*F64,2)</f>
        <v>#N/A</v>
      </c>
      <c r="D64" s="3692" t="s">
        <v>627</v>
      </c>
      <c r="E64" s="750" t="s">
        <v>597</v>
      </c>
      <c r="F64" s="783" t="e">
        <f t="shared" ca="1" si="0"/>
        <v>#N/A</v>
      </c>
      <c r="I64" s="2578" t="s">
        <v>1722</v>
      </c>
      <c r="J64" s="2579">
        <v>50</v>
      </c>
      <c r="K64" s="2579">
        <v>35</v>
      </c>
      <c r="L64" s="2579">
        <v>60</v>
      </c>
      <c r="M64" s="811">
        <v>0</v>
      </c>
      <c r="O64" s="2095" t="s">
        <v>1766</v>
      </c>
      <c r="P64" s="1404"/>
      <c r="Q64" s="1412"/>
      <c r="R64" s="1404"/>
    </row>
    <row r="65" spans="1:18" s="1782" customFormat="1" ht="15.75" thickBot="1">
      <c r="A65" s="1453" t="s">
        <v>1416</v>
      </c>
      <c r="B65" s="750" t="s">
        <v>613</v>
      </c>
      <c r="C65" s="51" t="e">
        <f ca="1">ROUND(C47*F65,2)</f>
        <v>#N/A</v>
      </c>
      <c r="D65" s="3692" t="s">
        <v>630</v>
      </c>
      <c r="E65" s="750" t="s">
        <v>597</v>
      </c>
      <c r="F65" s="760" t="e">
        <f t="shared" ca="1" si="0"/>
        <v>#N/A</v>
      </c>
      <c r="I65" s="2578" t="s">
        <v>1723</v>
      </c>
      <c r="J65" s="2579">
        <v>40</v>
      </c>
      <c r="K65" s="2579">
        <v>30</v>
      </c>
      <c r="L65" s="2579">
        <v>50</v>
      </c>
      <c r="M65" s="2581">
        <v>0.02</v>
      </c>
      <c r="O65" s="2086" t="s">
        <v>1726</v>
      </c>
      <c r="P65" s="2087" t="s">
        <v>1727</v>
      </c>
      <c r="Q65" s="2088" t="s">
        <v>1728</v>
      </c>
      <c r="R65" s="2087" t="s">
        <v>1729</v>
      </c>
    </row>
    <row r="66" spans="1:18" s="1782" customFormat="1" ht="24.75" thickBot="1">
      <c r="A66" s="763" t="s">
        <v>1305</v>
      </c>
      <c r="B66" s="2484" t="s">
        <v>2096</v>
      </c>
      <c r="C66" s="765" t="e">
        <f ca="1">C47-C57</f>
        <v>#N/A</v>
      </c>
      <c r="D66" s="3691" t="s">
        <v>647</v>
      </c>
      <c r="E66" s="3689"/>
      <c r="F66" s="785"/>
      <c r="K66" s="1808"/>
      <c r="O66" s="2089" t="s">
        <v>1730</v>
      </c>
      <c r="P66" s="2090" t="s">
        <v>1756</v>
      </c>
      <c r="Q66" s="2091" t="e">
        <f ca="1">C40+J29</f>
        <v>#N/A</v>
      </c>
      <c r="R66" s="2090" t="s">
        <v>1731</v>
      </c>
    </row>
    <row r="67" spans="1:18" s="1782" customFormat="1" ht="20.25" thickBot="1">
      <c r="A67" s="747" t="s">
        <v>1309</v>
      </c>
      <c r="B67" s="1950" t="s">
        <v>1657</v>
      </c>
      <c r="C67" s="749" t="e">
        <f ca="1">ROUND(C66*(1-((1+F69)/(1+F67))^F68)/(F67-F69),0)</f>
        <v>#N/A</v>
      </c>
      <c r="D67" s="779" t="s">
        <v>651</v>
      </c>
      <c r="E67" s="750" t="s">
        <v>652</v>
      </c>
      <c r="F67" s="760" t="e">
        <f ca="1">F40</f>
        <v>#N/A</v>
      </c>
      <c r="K67" s="1808"/>
      <c r="O67" s="2089" t="s">
        <v>1732</v>
      </c>
      <c r="P67" s="2090" t="s">
        <v>1763</v>
      </c>
      <c r="Q67" s="2091" t="e">
        <f ca="1">L60</f>
        <v>#N/A</v>
      </c>
      <c r="R67" s="2094" t="s">
        <v>1765</v>
      </c>
    </row>
    <row r="68" spans="1:18" ht="21.75" thickBot="1">
      <c r="A68" s="752"/>
      <c r="B68" s="753"/>
      <c r="C68" s="754"/>
      <c r="D68" s="786" t="s">
        <v>1337</v>
      </c>
      <c r="E68" s="750" t="s">
        <v>655</v>
      </c>
      <c r="F68" s="787" t="e">
        <f ca="1">F41</f>
        <v>#N/A</v>
      </c>
      <c r="O68" s="2092" t="s">
        <v>1734</v>
      </c>
      <c r="P68" s="2090" t="s">
        <v>1764</v>
      </c>
      <c r="Q68" s="2096" t="e">
        <f ca="1">L51</f>
        <v>#N/A</v>
      </c>
      <c r="R68" s="2097" t="s">
        <v>1767</v>
      </c>
    </row>
    <row r="69" spans="1:18" ht="20.25" thickBot="1">
      <c r="A69" s="756"/>
      <c r="B69" s="757"/>
      <c r="C69" s="758"/>
      <c r="D69" s="781"/>
      <c r="E69" s="750" t="s">
        <v>657</v>
      </c>
      <c r="F69" s="2064"/>
      <c r="O69" s="2092" t="s">
        <v>1735</v>
      </c>
      <c r="P69" s="2098" t="s">
        <v>1749</v>
      </c>
      <c r="Q69" s="2091" t="e">
        <f ca="1">ROUND(Q70-Q71*Q72,0)</f>
        <v>#N/A</v>
      </c>
      <c r="R69" s="2094"/>
    </row>
    <row r="70" spans="1:18" ht="15.75" thickBot="1">
      <c r="A70" s="788" t="s">
        <v>1316</v>
      </c>
      <c r="B70" s="789" t="s">
        <v>1339</v>
      </c>
      <c r="C70" s="790" t="e">
        <f ca="1">ROUND(C67*10000/F70,0)</f>
        <v>#N/A</v>
      </c>
      <c r="D70" s="791" t="s">
        <v>1340</v>
      </c>
      <c r="E70" s="792" t="s">
        <v>1341</v>
      </c>
      <c r="F70" s="793" t="e">
        <f ca="1">F43</f>
        <v>#N/A</v>
      </c>
      <c r="O70" s="2092" t="s">
        <v>1750</v>
      </c>
      <c r="P70" s="2098" t="s">
        <v>1751</v>
      </c>
      <c r="Q70" s="2091" t="e">
        <f ca="1">C39</f>
        <v>#N/A</v>
      </c>
      <c r="R70" s="2090" t="s">
        <v>1731</v>
      </c>
    </row>
    <row r="71" spans="1:18" ht="15.75" thickBot="1">
      <c r="O71" s="2092" t="s">
        <v>1752</v>
      </c>
      <c r="P71" s="2098" t="s">
        <v>1753</v>
      </c>
      <c r="Q71" s="2091" t="e">
        <f ca="1">C13</f>
        <v>#N/A</v>
      </c>
      <c r="R71" s="2090" t="s">
        <v>1731</v>
      </c>
    </row>
    <row r="72" spans="1:18" ht="15.75" thickBot="1">
      <c r="O72" s="2092" t="s">
        <v>1754</v>
      </c>
      <c r="P72" s="2098" t="s">
        <v>1755</v>
      </c>
      <c r="Q72" s="2093" t="e">
        <f ca="1">J36</f>
        <v>#N/A</v>
      </c>
      <c r="R72" s="2094"/>
    </row>
    <row r="73" spans="1:18" ht="15.75" thickBot="1">
      <c r="O73" s="2092" t="s">
        <v>1737</v>
      </c>
      <c r="P73" s="2090" t="s">
        <v>1744</v>
      </c>
      <c r="Q73" s="2093">
        <f>L52</f>
        <v>0</v>
      </c>
      <c r="R73" s="2094"/>
    </row>
    <row r="74" spans="1:18" ht="20.25" thickBot="1">
      <c r="O74" s="2092" t="s">
        <v>1739</v>
      </c>
      <c r="P74" s="2090" t="s">
        <v>1745</v>
      </c>
      <c r="Q74" s="2091" t="e">
        <f ca="1">L58</f>
        <v>#N/A</v>
      </c>
      <c r="R74" s="2094" t="s">
        <v>1746</v>
      </c>
    </row>
    <row r="75" spans="1:18" ht="15.75" thickBot="1">
      <c r="O75" s="2092" t="s">
        <v>1768</v>
      </c>
      <c r="P75" s="2090" t="str">
        <f>K59</f>
        <v>建设期及建筑物耐用年限下的土地年期修正系数Kn</v>
      </c>
      <c r="Q75" s="2091" t="e">
        <f ca="1">L59</f>
        <v>#N/A</v>
      </c>
      <c r="R75" s="2094" t="s">
        <v>1748</v>
      </c>
    </row>
    <row r="76" spans="1:18" ht="15.75" thickBot="1">
      <c r="O76" s="2089" t="s">
        <v>1742</v>
      </c>
      <c r="P76" s="2090" t="s">
        <v>1759</v>
      </c>
      <c r="Q76" s="2091" t="e">
        <f ca="1">Q66+Q67</f>
        <v>#N/A</v>
      </c>
      <c r="R76" s="2094" t="s">
        <v>1743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activeCell="I37" sqref="I37"/>
    </sheetView>
  </sheetViews>
  <sheetFormatPr defaultRowHeight="13.5"/>
  <cols>
    <col min="1" max="1" width="13.5" bestFit="1" customWidth="1"/>
    <col min="2" max="2" width="11.625" bestFit="1" customWidth="1"/>
  </cols>
  <sheetData>
    <row r="1" spans="1:8">
      <c r="A1" s="2988" t="s">
        <v>3434</v>
      </c>
    </row>
    <row r="2" spans="1:8">
      <c r="A2" s="2988" t="s">
        <v>3435</v>
      </c>
      <c r="B2" s="2988" t="s">
        <v>3436</v>
      </c>
      <c r="F2" s="2988" t="s">
        <v>3475</v>
      </c>
      <c r="G2">
        <v>44552</v>
      </c>
    </row>
    <row r="3" spans="1:8">
      <c r="A3" s="2988" t="s">
        <v>3437</v>
      </c>
      <c r="B3" s="2988" t="s">
        <v>3438</v>
      </c>
      <c r="F3" s="2988" t="s">
        <v>3476</v>
      </c>
      <c r="G3">
        <v>34598</v>
      </c>
    </row>
    <row r="4" spans="1:8">
      <c r="A4" s="2988" t="s">
        <v>3439</v>
      </c>
      <c r="B4">
        <v>66444.58</v>
      </c>
      <c r="C4" s="2988" t="s">
        <v>3440</v>
      </c>
      <c r="G4">
        <f>SUM(G2:G3)</f>
        <v>79150</v>
      </c>
      <c r="H4">
        <f>G4*0.03</f>
        <v>2374.5</v>
      </c>
    </row>
    <row r="5" spans="1:8">
      <c r="A5" s="2988" t="s">
        <v>3441</v>
      </c>
      <c r="B5" s="2988" t="s">
        <v>3442</v>
      </c>
      <c r="G5">
        <f>G4*0.00025</f>
        <v>19.787500000000001</v>
      </c>
    </row>
    <row r="6" spans="1:8">
      <c r="A6" s="2988" t="s">
        <v>3443</v>
      </c>
      <c r="B6" s="2988" t="s">
        <v>3444</v>
      </c>
      <c r="G6">
        <v>19.787500000000001</v>
      </c>
    </row>
    <row r="7" spans="1:8">
      <c r="B7" s="2988" t="s">
        <v>3445</v>
      </c>
    </row>
    <row r="8" spans="1:8">
      <c r="A8" s="2988" t="s">
        <v>3446</v>
      </c>
      <c r="B8" s="3700">
        <v>43901</v>
      </c>
    </row>
    <row r="9" spans="1:8">
      <c r="A9" s="2988" t="s">
        <v>3447</v>
      </c>
      <c r="B9" s="2988" t="s">
        <v>3448</v>
      </c>
    </row>
    <row r="10" spans="1:8">
      <c r="A10" s="2988" t="s">
        <v>3449</v>
      </c>
      <c r="B10" s="2988" t="s">
        <v>3450</v>
      </c>
      <c r="C10" s="2988" t="s">
        <v>3451</v>
      </c>
    </row>
    <row r="11" spans="1:8">
      <c r="B11" s="2988" t="s">
        <v>3452</v>
      </c>
      <c r="C11" s="2988" t="s">
        <v>3453</v>
      </c>
    </row>
    <row r="12" spans="1:8">
      <c r="A12" s="2988" t="s">
        <v>3454</v>
      </c>
      <c r="B12">
        <v>79150</v>
      </c>
      <c r="C12" s="2988" t="s">
        <v>3455</v>
      </c>
    </row>
    <row r="13" spans="1:8">
      <c r="A13" s="2988" t="s">
        <v>3458</v>
      </c>
      <c r="B13">
        <v>11912.18</v>
      </c>
      <c r="C13" s="2988" t="s">
        <v>3456</v>
      </c>
      <c r="D13" s="2988" t="s">
        <v>3457</v>
      </c>
    </row>
    <row r="14" spans="1:8">
      <c r="A14" s="2988" t="s">
        <v>3459</v>
      </c>
      <c r="B14">
        <v>166111.45000000001</v>
      </c>
      <c r="C14" s="2988" t="s">
        <v>3440</v>
      </c>
    </row>
    <row r="15" spans="1:8">
      <c r="A15" s="2988" t="s">
        <v>3460</v>
      </c>
      <c r="B15">
        <v>2.5</v>
      </c>
      <c r="C15">
        <v>1</v>
      </c>
    </row>
    <row r="16" spans="1:8">
      <c r="A16" s="2988" t="s">
        <v>3461</v>
      </c>
      <c r="B16">
        <v>60</v>
      </c>
      <c r="C16" s="2988" t="s">
        <v>3462</v>
      </c>
    </row>
    <row r="17" spans="1:10">
      <c r="A17" s="2988" t="s">
        <v>3463</v>
      </c>
      <c r="B17" s="3701">
        <v>0.3</v>
      </c>
    </row>
    <row r="18" spans="1:10">
      <c r="A18" s="2988" t="s">
        <v>3464</v>
      </c>
      <c r="B18" s="3701">
        <v>0.3</v>
      </c>
    </row>
    <row r="19" spans="1:10">
      <c r="A19" s="2988" t="s">
        <v>3465</v>
      </c>
      <c r="B19" s="3700">
        <v>43993</v>
      </c>
    </row>
    <row r="20" spans="1:10">
      <c r="A20" s="2988" t="s">
        <v>3466</v>
      </c>
      <c r="B20" s="3700">
        <v>44723</v>
      </c>
    </row>
    <row r="21" spans="1:10">
      <c r="A21" s="2988" t="s">
        <v>3467</v>
      </c>
      <c r="B21" s="3700">
        <v>43749</v>
      </c>
    </row>
    <row r="23" spans="1:10">
      <c r="A23" s="2988" t="s">
        <v>3468</v>
      </c>
    </row>
    <row r="24" spans="1:10">
      <c r="A24" s="2988" t="s">
        <v>3469</v>
      </c>
      <c r="B24" s="2988" t="s">
        <v>3470</v>
      </c>
    </row>
    <row r="26" spans="1:10">
      <c r="A26" s="2988" t="s">
        <v>3471</v>
      </c>
      <c r="I26">
        <f>11128.71/127861.33*39137.98</f>
        <v>3406.4656562371124</v>
      </c>
    </row>
    <row r="27" spans="1:10">
      <c r="A27" s="3702" t="s">
        <v>2793</v>
      </c>
      <c r="B27" s="2988" t="s">
        <v>3460</v>
      </c>
      <c r="C27" s="2988" t="s">
        <v>3472</v>
      </c>
      <c r="D27" s="2988" t="s">
        <v>3473</v>
      </c>
    </row>
    <row r="28" spans="1:10">
      <c r="A28" s="3700">
        <v>44200</v>
      </c>
      <c r="B28" s="2988" t="s">
        <v>3474</v>
      </c>
      <c r="C28">
        <v>2.5</v>
      </c>
      <c r="D28">
        <v>2.39</v>
      </c>
    </row>
    <row r="29" spans="1:10">
      <c r="I29">
        <f>'数据-汇总表'!E28*11128.71/'数据-汇总表'!E27</f>
        <v>4108.03131660701</v>
      </c>
      <c r="J29">
        <f>'数据-汇总表'!I20</f>
        <v>4108.03</v>
      </c>
    </row>
    <row r="30" spans="1:10">
      <c r="I30">
        <f>I29/'数据-汇总表'!E3*'数据-汇总表'!D3</f>
        <v>1257.4563983398175</v>
      </c>
    </row>
    <row r="31" spans="1:10">
      <c r="I31">
        <f>I30+I26</f>
        <v>4663.9220545769294</v>
      </c>
    </row>
    <row r="37" spans="9:9">
      <c r="I37" s="2988">
        <f>(11128.71/127861.33*39137.98)+(11128.71/92978.39*34321.87)/127861.33*39137.98</f>
        <v>4663.9220545769294</v>
      </c>
    </row>
  </sheetData>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3"/>
  <sheetViews>
    <sheetView topLeftCell="A61" workbookViewId="0">
      <selection activeCell="G93" sqref="G93"/>
    </sheetView>
  </sheetViews>
  <sheetFormatPr defaultColWidth="9" defaultRowHeight="13.5"/>
  <cols>
    <col min="1" max="1" width="20" style="3661" customWidth="1"/>
    <col min="2" max="2" width="12.5" style="3661" customWidth="1"/>
    <col min="3" max="3" width="9" style="3661" customWidth="1"/>
    <col min="4" max="4" width="7.5" style="3661" customWidth="1"/>
    <col min="5" max="5" width="12.5" style="3661" customWidth="1"/>
    <col min="6" max="6" width="10.625" style="3661" customWidth="1"/>
    <col min="7" max="7" width="10.875" style="3661" customWidth="1"/>
    <col min="8" max="8" width="11.375" style="3661" customWidth="1"/>
    <col min="9" max="9" width="7.5" style="3661" customWidth="1"/>
    <col min="10" max="10" width="25.875" style="3661" customWidth="1"/>
    <col min="11" max="11" width="13.625" style="3661" customWidth="1"/>
    <col min="12" max="14" width="20" style="3661" customWidth="1"/>
    <col min="15" max="15" width="10.125" style="3661" customWidth="1"/>
    <col min="16" max="16" width="11.625" style="3661" customWidth="1"/>
    <col min="17" max="17" width="8.625" style="3661" customWidth="1"/>
    <col min="18" max="19" width="9.25" style="3661" customWidth="1"/>
    <col min="20" max="20" width="20" style="3661" customWidth="1"/>
    <col min="21" max="16384" width="9" style="3661"/>
  </cols>
  <sheetData>
    <row r="1" spans="1:19">
      <c r="A1" s="3661" t="s">
        <v>3273</v>
      </c>
      <c r="B1" s="3661" t="s">
        <v>3274</v>
      </c>
      <c r="C1" s="3661" t="s">
        <v>3275</v>
      </c>
      <c r="D1" s="3661" t="s">
        <v>3276</v>
      </c>
      <c r="E1" s="3661" t="s">
        <v>3277</v>
      </c>
      <c r="F1" s="3661" t="s">
        <v>3278</v>
      </c>
      <c r="G1" s="3661" t="s">
        <v>3279</v>
      </c>
      <c r="H1" s="3661" t="s">
        <v>3280</v>
      </c>
      <c r="I1" s="3661" t="s">
        <v>1549</v>
      </c>
      <c r="J1" s="3661" t="s">
        <v>3281</v>
      </c>
      <c r="K1" s="3661" t="s">
        <v>3282</v>
      </c>
      <c r="L1" s="3661" t="s">
        <v>3283</v>
      </c>
      <c r="M1" s="3661" t="s">
        <v>3284</v>
      </c>
      <c r="N1" s="3661" t="s">
        <v>3285</v>
      </c>
      <c r="O1" s="3661" t="s">
        <v>3286</v>
      </c>
      <c r="P1" s="3661" t="s">
        <v>3287</v>
      </c>
      <c r="Q1" s="3661" t="s">
        <v>3288</v>
      </c>
      <c r="R1" s="3661" t="s">
        <v>3289</v>
      </c>
      <c r="S1" s="3661" t="s">
        <v>3290</v>
      </c>
    </row>
    <row r="2" spans="1:19" s="3669" customFormat="1">
      <c r="A2" s="3669" t="s">
        <v>3291</v>
      </c>
      <c r="B2" s="3669" t="s">
        <v>3292</v>
      </c>
      <c r="C2" s="3669" t="s">
        <v>3293</v>
      </c>
      <c r="D2" s="3669" t="s">
        <v>3294</v>
      </c>
      <c r="E2" s="3669" t="s">
        <v>3295</v>
      </c>
      <c r="F2" s="3669" t="s">
        <v>3296</v>
      </c>
      <c r="G2" s="3669">
        <v>107833.14</v>
      </c>
      <c r="H2" s="3669">
        <v>215666.28</v>
      </c>
      <c r="I2" s="3669">
        <v>2</v>
      </c>
      <c r="J2" s="3669" t="s">
        <v>3297</v>
      </c>
      <c r="K2" s="3670">
        <v>44925.000497685185</v>
      </c>
      <c r="L2" s="3669" t="s">
        <v>3299</v>
      </c>
      <c r="M2" s="3669" t="s">
        <v>3300</v>
      </c>
      <c r="N2" s="3669" t="s">
        <v>3301</v>
      </c>
      <c r="O2" s="3669">
        <v>219550</v>
      </c>
      <c r="P2" s="3669">
        <v>1357.34</v>
      </c>
      <c r="Q2" s="3669">
        <v>10180</v>
      </c>
      <c r="R2" s="3669">
        <v>0.01</v>
      </c>
      <c r="S2" s="3669" t="s">
        <v>3302</v>
      </c>
    </row>
    <row r="3" spans="1:19" s="3669" customFormat="1">
      <c r="A3" s="3669" t="s">
        <v>3303</v>
      </c>
      <c r="B3" s="3669" t="s">
        <v>3304</v>
      </c>
      <c r="C3" s="3669" t="s">
        <v>3293</v>
      </c>
      <c r="D3" s="3669" t="s">
        <v>3305</v>
      </c>
      <c r="E3" s="3669" t="s">
        <v>3306</v>
      </c>
      <c r="F3" s="3669" t="s">
        <v>3296</v>
      </c>
      <c r="G3" s="3669">
        <v>26097.06</v>
      </c>
      <c r="H3" s="3669">
        <v>78291.179999999993</v>
      </c>
      <c r="I3" s="3669">
        <v>3</v>
      </c>
      <c r="J3" s="3669" t="s">
        <v>3297</v>
      </c>
      <c r="K3" s="3670">
        <v>44916.000497685185</v>
      </c>
      <c r="L3" s="3669" t="s">
        <v>3307</v>
      </c>
      <c r="M3" s="3669" t="s">
        <v>3308</v>
      </c>
      <c r="N3" s="3669" t="s">
        <v>3298</v>
      </c>
      <c r="O3" s="3669">
        <v>107041</v>
      </c>
      <c r="P3" s="3669">
        <v>2734.43</v>
      </c>
      <c r="Q3" s="3669">
        <v>13672</v>
      </c>
      <c r="R3" s="3669">
        <v>0</v>
      </c>
      <c r="S3" s="3669" t="s">
        <v>3302</v>
      </c>
    </row>
    <row r="4" spans="1:19">
      <c r="A4" s="3661" t="s">
        <v>3309</v>
      </c>
      <c r="B4" s="3661" t="s">
        <v>3310</v>
      </c>
      <c r="C4" s="3661" t="s">
        <v>3293</v>
      </c>
      <c r="D4" s="3661" t="s">
        <v>3305</v>
      </c>
      <c r="E4" s="3661" t="s">
        <v>3306</v>
      </c>
      <c r="F4" s="3661" t="s">
        <v>3296</v>
      </c>
      <c r="G4" s="3661">
        <v>12667.73</v>
      </c>
      <c r="H4" s="3661">
        <v>31669.32</v>
      </c>
      <c r="I4" s="3661">
        <v>2.5</v>
      </c>
      <c r="J4" s="3661" t="s">
        <v>3297</v>
      </c>
      <c r="K4" s="3662">
        <v>44916.000497685185</v>
      </c>
      <c r="L4" s="3661" t="s">
        <v>3311</v>
      </c>
      <c r="M4" s="3661" t="s">
        <v>3312</v>
      </c>
      <c r="N4" s="3661" t="s">
        <v>3313</v>
      </c>
      <c r="O4" s="3661">
        <v>54210</v>
      </c>
      <c r="P4" s="3661">
        <v>2852.92</v>
      </c>
      <c r="Q4" s="3661">
        <v>17118</v>
      </c>
      <c r="R4" s="3661">
        <v>0</v>
      </c>
      <c r="S4" s="3661" t="s">
        <v>3302</v>
      </c>
    </row>
    <row r="5" spans="1:19" s="3665" customFormat="1" ht="14.25">
      <c r="A5" s="3663" t="s">
        <v>3314</v>
      </c>
      <c r="B5" s="3663" t="s">
        <v>3315</v>
      </c>
      <c r="C5" s="3663" t="s">
        <v>3293</v>
      </c>
      <c r="D5" s="3663" t="s">
        <v>3316</v>
      </c>
      <c r="E5" s="3663" t="s">
        <v>3317</v>
      </c>
      <c r="F5" s="3663" t="s">
        <v>3296</v>
      </c>
      <c r="G5" s="3663">
        <v>1084.21</v>
      </c>
      <c r="H5" s="3663">
        <v>3794.74</v>
      </c>
      <c r="I5" s="3663">
        <v>3.5</v>
      </c>
      <c r="J5" s="3663" t="s">
        <v>3297</v>
      </c>
      <c r="K5" s="3664">
        <v>44911.000497685185</v>
      </c>
      <c r="L5" s="3663" t="s">
        <v>3318</v>
      </c>
      <c r="M5" s="3663" t="s">
        <v>3298</v>
      </c>
      <c r="N5" s="3663" t="s">
        <v>3298</v>
      </c>
      <c r="O5" s="3663">
        <v>2505</v>
      </c>
      <c r="P5" s="3663">
        <v>1540.29</v>
      </c>
      <c r="Q5" s="3663">
        <v>6601</v>
      </c>
      <c r="R5" s="3663">
        <v>5.03</v>
      </c>
      <c r="S5" s="3663" t="s">
        <v>3302</v>
      </c>
    </row>
    <row r="6" spans="1:19">
      <c r="A6" s="3661" t="s">
        <v>3319</v>
      </c>
      <c r="B6" s="3661" t="s">
        <v>3320</v>
      </c>
      <c r="C6" s="3661" t="s">
        <v>3293</v>
      </c>
      <c r="D6" s="3661" t="s">
        <v>3321</v>
      </c>
      <c r="E6" s="3661" t="s">
        <v>3322</v>
      </c>
      <c r="F6" s="3661" t="s">
        <v>3296</v>
      </c>
      <c r="G6" s="3661">
        <v>57368.51</v>
      </c>
      <c r="H6" s="3661">
        <v>143421.28</v>
      </c>
      <c r="I6" s="3661">
        <v>2.5</v>
      </c>
      <c r="J6" s="3661" t="s">
        <v>3297</v>
      </c>
      <c r="K6" s="3662">
        <v>44875.000497685185</v>
      </c>
      <c r="L6" s="3661" t="s">
        <v>3323</v>
      </c>
      <c r="M6" s="3661" t="s">
        <v>3324</v>
      </c>
      <c r="N6" s="3661" t="s">
        <v>3325</v>
      </c>
      <c r="O6" s="3661">
        <v>85046</v>
      </c>
      <c r="P6" s="3661">
        <v>988.3</v>
      </c>
      <c r="Q6" s="3661">
        <v>5930</v>
      </c>
      <c r="R6" s="3661">
        <v>0.01</v>
      </c>
      <c r="S6" s="3661" t="s">
        <v>3302</v>
      </c>
    </row>
    <row r="7" spans="1:19" s="3673" customFormat="1" ht="14.25">
      <c r="A7" s="3671" t="s">
        <v>3326</v>
      </c>
      <c r="B7" s="3671" t="s">
        <v>3327</v>
      </c>
      <c r="C7" s="3671" t="s">
        <v>3293</v>
      </c>
      <c r="D7" s="3671" t="s">
        <v>3294</v>
      </c>
      <c r="E7" s="3671" t="s">
        <v>3295</v>
      </c>
      <c r="F7" s="3671" t="s">
        <v>3296</v>
      </c>
      <c r="G7" s="3671">
        <v>133418</v>
      </c>
      <c r="H7" s="3671">
        <v>160101.6</v>
      </c>
      <c r="I7" s="3671">
        <v>1.2</v>
      </c>
      <c r="J7" s="3671" t="s">
        <v>3297</v>
      </c>
      <c r="K7" s="3672">
        <v>44858.000497685185</v>
      </c>
      <c r="L7" s="3671" t="s">
        <v>3328</v>
      </c>
      <c r="M7" s="3671" t="s">
        <v>3329</v>
      </c>
      <c r="N7" s="3671" t="s">
        <v>3330</v>
      </c>
      <c r="O7" s="3671">
        <v>202800</v>
      </c>
      <c r="P7" s="3671">
        <v>1013.36</v>
      </c>
      <c r="Q7" s="3671">
        <v>12667</v>
      </c>
      <c r="R7" s="3671">
        <v>0.06</v>
      </c>
      <c r="S7" s="3671" t="s">
        <v>3302</v>
      </c>
    </row>
    <row r="8" spans="1:19" s="3668" customFormat="1" ht="14.25">
      <c r="A8" s="3666" t="s">
        <v>3331</v>
      </c>
      <c r="B8" s="3666" t="s">
        <v>3332</v>
      </c>
      <c r="C8" s="3666" t="s">
        <v>3293</v>
      </c>
      <c r="D8" s="3666" t="s">
        <v>3316</v>
      </c>
      <c r="E8" s="3666" t="s">
        <v>3317</v>
      </c>
      <c r="F8" s="3666" t="s">
        <v>3296</v>
      </c>
      <c r="G8" s="3666">
        <v>6587.44</v>
      </c>
      <c r="H8" s="3666">
        <v>19762.32</v>
      </c>
      <c r="I8" s="3666">
        <v>3</v>
      </c>
      <c r="J8" s="3666" t="s">
        <v>3333</v>
      </c>
      <c r="K8" s="3667">
        <v>44697.000497685185</v>
      </c>
      <c r="L8" s="3666" t="s">
        <v>3334</v>
      </c>
      <c r="M8" s="3666" t="s">
        <v>3335</v>
      </c>
      <c r="N8" s="3666" t="s">
        <v>3330</v>
      </c>
      <c r="O8" s="3666">
        <v>11388</v>
      </c>
      <c r="P8" s="3666">
        <v>1152.5</v>
      </c>
      <c r="Q8" s="3666">
        <v>5762</v>
      </c>
      <c r="R8" s="3666">
        <v>0.67</v>
      </c>
      <c r="S8" s="3666" t="s">
        <v>3302</v>
      </c>
    </row>
    <row r="9" spans="1:19" s="3668" customFormat="1" ht="14.25">
      <c r="A9" s="3666" t="s">
        <v>3336</v>
      </c>
      <c r="B9" s="3666" t="s">
        <v>3337</v>
      </c>
      <c r="C9" s="3666" t="s">
        <v>3293</v>
      </c>
      <c r="D9" s="3666" t="s">
        <v>3305</v>
      </c>
      <c r="E9" s="3666" t="s">
        <v>3338</v>
      </c>
      <c r="F9" s="3666" t="s">
        <v>3296</v>
      </c>
      <c r="G9" s="3666">
        <v>7259.03</v>
      </c>
      <c r="H9" s="3666">
        <v>18873.48</v>
      </c>
      <c r="I9" s="3666">
        <v>2.6</v>
      </c>
      <c r="J9" s="3666" t="s">
        <v>3333</v>
      </c>
      <c r="K9" s="3667">
        <v>44688.000497685185</v>
      </c>
      <c r="L9" s="3666" t="s">
        <v>3339</v>
      </c>
      <c r="M9" s="3666" t="s">
        <v>3298</v>
      </c>
      <c r="N9" s="3666" t="s">
        <v>3298</v>
      </c>
      <c r="O9" s="3666">
        <v>9218</v>
      </c>
      <c r="P9" s="3666">
        <v>846.58</v>
      </c>
      <c r="Q9" s="3666">
        <v>4884</v>
      </c>
      <c r="R9" s="3666">
        <v>26</v>
      </c>
      <c r="S9" s="3666" t="s">
        <v>3302</v>
      </c>
    </row>
    <row r="10" spans="1:19" s="3668" customFormat="1" ht="14.25">
      <c r="A10" s="3666" t="s">
        <v>3340</v>
      </c>
      <c r="B10" s="3666" t="s">
        <v>3341</v>
      </c>
      <c r="C10" s="3666" t="s">
        <v>3293</v>
      </c>
      <c r="D10" s="3666" t="s">
        <v>3321</v>
      </c>
      <c r="E10" s="3666" t="s">
        <v>3322</v>
      </c>
      <c r="F10" s="3666" t="s">
        <v>3296</v>
      </c>
      <c r="G10" s="3666">
        <v>5149.2</v>
      </c>
      <c r="H10" s="3666">
        <v>12873</v>
      </c>
      <c r="I10" s="3666">
        <v>2.5</v>
      </c>
      <c r="J10" s="3666" t="s">
        <v>3333</v>
      </c>
      <c r="K10" s="3667">
        <v>44659.000497685185</v>
      </c>
      <c r="L10" s="3666" t="s">
        <v>3342</v>
      </c>
      <c r="M10" s="3666" t="s">
        <v>3343</v>
      </c>
      <c r="N10" s="3666" t="s">
        <v>3344</v>
      </c>
      <c r="O10" s="3666">
        <v>4750</v>
      </c>
      <c r="P10" s="3666">
        <v>614.98</v>
      </c>
      <c r="Q10" s="3666">
        <v>3690</v>
      </c>
      <c r="R10" s="3666">
        <v>1.5</v>
      </c>
      <c r="S10" s="3666" t="s">
        <v>3302</v>
      </c>
    </row>
    <row r="11" spans="1:19" s="3668" customFormat="1" ht="14.25">
      <c r="A11" s="3666" t="s">
        <v>3345</v>
      </c>
      <c r="B11" s="3666" t="s">
        <v>3346</v>
      </c>
      <c r="C11" s="3666" t="s">
        <v>3293</v>
      </c>
      <c r="D11" s="3666" t="s">
        <v>3321</v>
      </c>
      <c r="E11" s="3666" t="s">
        <v>3322</v>
      </c>
      <c r="F11" s="3666" t="s">
        <v>3296</v>
      </c>
      <c r="G11" s="3666">
        <v>58522.879999999997</v>
      </c>
      <c r="H11" s="3666">
        <v>146307.20000000001</v>
      </c>
      <c r="I11" s="3666">
        <v>2.5</v>
      </c>
      <c r="J11" s="3666" t="s">
        <v>3333</v>
      </c>
      <c r="K11" s="3667">
        <v>44561.000497685185</v>
      </c>
      <c r="L11" s="3666" t="s">
        <v>3347</v>
      </c>
      <c r="M11" s="3666" t="s">
        <v>3343</v>
      </c>
      <c r="N11" s="3666" t="s">
        <v>3344</v>
      </c>
      <c r="O11" s="3666">
        <v>53200</v>
      </c>
      <c r="P11" s="3666">
        <v>606.03</v>
      </c>
      <c r="Q11" s="3666">
        <v>3636</v>
      </c>
      <c r="R11" s="3666">
        <v>0.37</v>
      </c>
      <c r="S11" s="3666" t="s">
        <v>3302</v>
      </c>
    </row>
    <row r="12" spans="1:19" s="3677" customFormat="1" ht="14.25">
      <c r="A12" s="3675" t="s">
        <v>3348</v>
      </c>
      <c r="B12" s="3675" t="s">
        <v>3349</v>
      </c>
      <c r="C12" s="3675" t="s">
        <v>3293</v>
      </c>
      <c r="D12" s="3675" t="s">
        <v>3305</v>
      </c>
      <c r="E12" s="3675" t="s">
        <v>3350</v>
      </c>
      <c r="F12" s="3675" t="s">
        <v>3296</v>
      </c>
      <c r="G12" s="3675">
        <v>27861.65</v>
      </c>
      <c r="H12" s="3675">
        <v>98351.62</v>
      </c>
      <c r="I12" s="3675">
        <v>3.53</v>
      </c>
      <c r="J12" s="3675" t="s">
        <v>3333</v>
      </c>
      <c r="K12" s="3676">
        <v>44543.000497685185</v>
      </c>
      <c r="L12" s="3675" t="s">
        <v>3351</v>
      </c>
      <c r="M12" s="3675" t="s">
        <v>3352</v>
      </c>
      <c r="N12" s="3675" t="s">
        <v>3353</v>
      </c>
      <c r="O12" s="3675">
        <v>34300</v>
      </c>
      <c r="P12" s="3675">
        <v>820.72</v>
      </c>
      <c r="Q12" s="3675">
        <v>3487</v>
      </c>
      <c r="R12" s="3675">
        <v>0.14000000000000001</v>
      </c>
      <c r="S12" s="3675" t="s">
        <v>3302</v>
      </c>
    </row>
    <row r="13" spans="1:19" s="3677" customFormat="1" ht="14.25">
      <c r="A13" s="3675" t="s">
        <v>3354</v>
      </c>
      <c r="B13" s="3675" t="s">
        <v>3355</v>
      </c>
      <c r="C13" s="3675" t="s">
        <v>3293</v>
      </c>
      <c r="D13" s="3675" t="s">
        <v>3321</v>
      </c>
      <c r="E13" s="3675" t="s">
        <v>3322</v>
      </c>
      <c r="F13" s="3675" t="s">
        <v>3296</v>
      </c>
      <c r="G13" s="3675">
        <v>28819.43</v>
      </c>
      <c r="H13" s="3675">
        <v>101732.59</v>
      </c>
      <c r="I13" s="3675">
        <v>3.53</v>
      </c>
      <c r="J13" s="3675" t="s">
        <v>3333</v>
      </c>
      <c r="K13" s="3676">
        <v>44543.000497685185</v>
      </c>
      <c r="L13" s="3675" t="s">
        <v>3351</v>
      </c>
      <c r="M13" s="3675" t="s">
        <v>3352</v>
      </c>
      <c r="N13" s="3675" t="s">
        <v>3353</v>
      </c>
      <c r="O13" s="3675">
        <v>32930</v>
      </c>
      <c r="P13" s="3675">
        <v>761.75</v>
      </c>
      <c r="Q13" s="3675">
        <v>3237</v>
      </c>
      <c r="R13" s="3675">
        <v>0.09</v>
      </c>
      <c r="S13" s="3675" t="s">
        <v>3302</v>
      </c>
    </row>
    <row r="14" spans="1:19" s="3677" customFormat="1" ht="14.25">
      <c r="A14" s="3675" t="s">
        <v>3356</v>
      </c>
      <c r="B14" s="3675" t="s">
        <v>3357</v>
      </c>
      <c r="C14" s="3675" t="s">
        <v>3293</v>
      </c>
      <c r="D14" s="3675" t="s">
        <v>3321</v>
      </c>
      <c r="E14" s="3675" t="s">
        <v>3322</v>
      </c>
      <c r="F14" s="3675" t="s">
        <v>3296</v>
      </c>
      <c r="G14" s="3675">
        <v>22278.99</v>
      </c>
      <c r="H14" s="3675">
        <v>78644.83</v>
      </c>
      <c r="I14" s="3675">
        <v>3.53</v>
      </c>
      <c r="J14" s="3675" t="s">
        <v>3333</v>
      </c>
      <c r="K14" s="3676">
        <v>44543.000497685185</v>
      </c>
      <c r="L14" s="3675" t="s">
        <v>3351</v>
      </c>
      <c r="M14" s="3675" t="s">
        <v>3358</v>
      </c>
      <c r="N14" s="3675" t="s">
        <v>3359</v>
      </c>
      <c r="O14" s="3675">
        <v>26675</v>
      </c>
      <c r="P14" s="3675">
        <v>798.21</v>
      </c>
      <c r="Q14" s="3675">
        <v>3392</v>
      </c>
      <c r="R14" s="3675">
        <v>0.08</v>
      </c>
      <c r="S14" s="3675" t="s">
        <v>3302</v>
      </c>
    </row>
    <row r="15" spans="1:19">
      <c r="A15" s="3661" t="s">
        <v>3360</v>
      </c>
      <c r="B15" s="3661" t="s">
        <v>3361</v>
      </c>
      <c r="C15" s="3661" t="s">
        <v>3293</v>
      </c>
      <c r="D15" s="3661" t="s">
        <v>3321</v>
      </c>
      <c r="E15" s="3661" t="s">
        <v>3322</v>
      </c>
      <c r="F15" s="3661" t="s">
        <v>3296</v>
      </c>
      <c r="G15" s="3661">
        <v>58774.09</v>
      </c>
      <c r="H15" s="3661">
        <v>146935.23000000001</v>
      </c>
      <c r="I15" s="3661">
        <v>2.5</v>
      </c>
      <c r="J15" s="3661" t="s">
        <v>3362</v>
      </c>
      <c r="K15" s="3662">
        <v>44347.000497685185</v>
      </c>
      <c r="L15" s="3661" t="s">
        <v>3363</v>
      </c>
      <c r="M15" s="3661" t="s">
        <v>3364</v>
      </c>
      <c r="N15" s="3661" t="s">
        <v>3325</v>
      </c>
      <c r="O15" s="3661">
        <v>62389</v>
      </c>
      <c r="P15" s="3661">
        <v>707.67</v>
      </c>
      <c r="Q15" s="3661">
        <v>4246</v>
      </c>
      <c r="R15" s="3661">
        <v>23.42</v>
      </c>
      <c r="S15" s="3661" t="s">
        <v>3302</v>
      </c>
    </row>
    <row r="16" spans="1:19" s="3668" customFormat="1" ht="14.25">
      <c r="A16" s="3666" t="s">
        <v>3365</v>
      </c>
      <c r="B16" s="3666" t="s">
        <v>3366</v>
      </c>
      <c r="C16" s="3666" t="s">
        <v>3293</v>
      </c>
      <c r="D16" s="3666" t="s">
        <v>3294</v>
      </c>
      <c r="E16" s="3666" t="s">
        <v>3295</v>
      </c>
      <c r="F16" s="3666" t="s">
        <v>3296</v>
      </c>
      <c r="G16" s="3666">
        <v>4034.6</v>
      </c>
      <c r="H16" s="3666">
        <v>12103.8</v>
      </c>
      <c r="I16" s="3666">
        <v>3</v>
      </c>
      <c r="J16" s="3666" t="s">
        <v>3333</v>
      </c>
      <c r="K16" s="3667">
        <v>44309.000497685185</v>
      </c>
      <c r="L16" s="3666" t="s">
        <v>3367</v>
      </c>
      <c r="M16" s="3666" t="s">
        <v>3298</v>
      </c>
      <c r="N16" s="3666" t="s">
        <v>3298</v>
      </c>
      <c r="O16" s="3666">
        <v>4456</v>
      </c>
      <c r="P16" s="3666">
        <v>736.3</v>
      </c>
      <c r="Q16" s="3666">
        <v>3681</v>
      </c>
      <c r="R16" s="3666">
        <v>2.37</v>
      </c>
      <c r="S16" s="3666" t="s">
        <v>3302</v>
      </c>
    </row>
    <row r="54" spans="2:2">
      <c r="B54" s="3661">
        <v>2</v>
      </c>
    </row>
    <row r="78" spans="6:10" ht="14.25" thickBot="1"/>
    <row r="79" spans="6:10" ht="14.25" thickBot="1">
      <c r="F79" s="4051" t="s">
        <v>3601</v>
      </c>
      <c r="G79" s="4052" t="s">
        <v>3602</v>
      </c>
      <c r="H79" s="4052" t="s">
        <v>3603</v>
      </c>
      <c r="I79" s="4052" t="s">
        <v>3604</v>
      </c>
      <c r="J79" s="4052" t="s">
        <v>3605</v>
      </c>
    </row>
    <row r="80" spans="6:10" ht="14.25" thickBot="1">
      <c r="F80" s="4053">
        <v>2023</v>
      </c>
      <c r="G80" s="4054">
        <v>1.72</v>
      </c>
      <c r="H80" s="4054" t="s">
        <v>3606</v>
      </c>
      <c r="I80" s="4054" t="s">
        <v>3607</v>
      </c>
      <c r="J80" s="4055" t="s">
        <v>877</v>
      </c>
    </row>
    <row r="81" spans="6:10" ht="14.25" thickBot="1">
      <c r="F81" s="4053">
        <v>2022</v>
      </c>
      <c r="G81" s="4055" t="s">
        <v>877</v>
      </c>
      <c r="H81" s="4054">
        <v>-1.1299999999999999</v>
      </c>
      <c r="I81" s="4054">
        <v>-0.96</v>
      </c>
      <c r="J81" s="4054">
        <v>-0.7</v>
      </c>
    </row>
    <row r="82" spans="6:10" ht="14.25" thickBot="1">
      <c r="F82" s="4053">
        <v>2021</v>
      </c>
      <c r="G82" s="4054">
        <v>2.2599999999999998</v>
      </c>
      <c r="H82" s="4054">
        <v>2.21</v>
      </c>
      <c r="I82" s="4054">
        <v>1.96</v>
      </c>
      <c r="J82" s="4054" t="s">
        <v>3606</v>
      </c>
    </row>
    <row r="83" spans="6:10" ht="14.25" thickBot="1">
      <c r="F83" s="4053">
        <v>2020</v>
      </c>
      <c r="G83" s="4056">
        <v>-2.64</v>
      </c>
      <c r="H83" s="4056">
        <v>0.93</v>
      </c>
      <c r="I83" s="4056">
        <v>1.42</v>
      </c>
      <c r="J83" s="4056">
        <v>1.72</v>
      </c>
    </row>
  </sheetData>
  <phoneticPr fontId="22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pane ySplit="4" topLeftCell="A89" activePane="bottomLeft" state="frozen"/>
      <selection pane="bottomLeft" activeCell="C2" sqref="C2"/>
    </sheetView>
  </sheetViews>
  <sheetFormatPr defaultRowHeight="13.5"/>
  <sheetData>
    <row r="1" spans="1:6">
      <c r="B1" s="2988" t="s">
        <v>3551</v>
      </c>
      <c r="C1" s="2988" t="s">
        <v>3552</v>
      </c>
      <c r="D1" s="2988" t="s">
        <v>3553</v>
      </c>
      <c r="E1" s="2988" t="s">
        <v>3555</v>
      </c>
      <c r="F1" s="2988" t="s">
        <v>3557</v>
      </c>
    </row>
    <row r="2" spans="1:6">
      <c r="A2" s="2988" t="s">
        <v>3550</v>
      </c>
      <c r="B2" s="3716">
        <v>44958</v>
      </c>
      <c r="C2">
        <v>32242</v>
      </c>
      <c r="D2" s="2988" t="s">
        <v>3554</v>
      </c>
      <c r="E2" s="2988" t="s">
        <v>3556</v>
      </c>
      <c r="F2">
        <v>2.5</v>
      </c>
    </row>
    <row r="3" spans="1:6">
      <c r="A3" s="2988" t="s">
        <v>3558</v>
      </c>
      <c r="B3" s="3716">
        <v>44958</v>
      </c>
      <c r="C3">
        <v>33327</v>
      </c>
      <c r="D3" s="2988" t="s">
        <v>3554</v>
      </c>
      <c r="E3" s="2988" t="s">
        <v>3556</v>
      </c>
      <c r="F3">
        <v>2.1</v>
      </c>
    </row>
    <row r="4" spans="1:6">
      <c r="A4" s="2988" t="s">
        <v>3559</v>
      </c>
      <c r="B4" s="3716">
        <v>44896</v>
      </c>
      <c r="C4">
        <v>29143</v>
      </c>
      <c r="D4" s="2988" t="s">
        <v>3561</v>
      </c>
      <c r="E4" s="2988" t="s">
        <v>3562</v>
      </c>
      <c r="F4">
        <v>2.2000000000000002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5" t="s">
        <v>1555</v>
      </c>
      <c r="B1" s="3725"/>
      <c r="C1" s="3725"/>
      <c r="D1" s="3725"/>
      <c r="E1" s="3725"/>
      <c r="F1" s="3725"/>
      <c r="G1" s="3725"/>
      <c r="H1" s="3725"/>
      <c r="I1" s="3725"/>
      <c r="J1" s="3725"/>
      <c r="K1" s="3725"/>
      <c r="L1" s="3725"/>
      <c r="M1" s="3725"/>
      <c r="N1" s="3725"/>
      <c r="O1" s="3725"/>
      <c r="P1" s="3725"/>
      <c r="Q1" s="3725"/>
      <c r="R1" s="3725"/>
    </row>
    <row r="2" spans="1:18">
      <c r="A2" s="1594" t="s">
        <v>1557</v>
      </c>
      <c r="B2" s="1594"/>
      <c r="C2" s="1594"/>
      <c r="D2" s="1594"/>
      <c r="E2" s="1594"/>
      <c r="F2" s="1594"/>
      <c r="G2" s="1594"/>
      <c r="H2" s="1594"/>
      <c r="I2" s="1595"/>
      <c r="J2" s="1595"/>
      <c r="K2" s="1596" t="str">
        <f>"估价期日："&amp;TEXT(项目基本情况!D3,"yyyy年m月d日;;")</f>
        <v>估价期日：2023年4月18日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6" t="s">
        <v>1546</v>
      </c>
      <c r="B3" s="3726" t="s">
        <v>2010</v>
      </c>
      <c r="C3" s="3727" t="s">
        <v>1547</v>
      </c>
      <c r="D3" s="3726" t="s">
        <v>2014</v>
      </c>
      <c r="E3" s="3729" t="s">
        <v>1548</v>
      </c>
      <c r="F3" s="3729"/>
      <c r="G3" s="3729"/>
      <c r="H3" s="3729" t="s">
        <v>1549</v>
      </c>
      <c r="I3" s="3729"/>
      <c r="J3" s="3729"/>
      <c r="K3" s="3727" t="s">
        <v>1550</v>
      </c>
      <c r="L3" s="3727" t="s">
        <v>1551</v>
      </c>
      <c r="M3" s="3726" t="s">
        <v>2011</v>
      </c>
      <c r="N3" s="3728" t="str">
        <f>"（分摊）"&amp;项目基本情况!A17&amp;"国有建设用地使用权面积/㎡"</f>
        <v>（分摊）出让国有建设用地使用权面积/㎡</v>
      </c>
      <c r="O3" s="3726" t="s">
        <v>1580</v>
      </c>
      <c r="P3" s="3727" t="s">
        <v>1560</v>
      </c>
      <c r="Q3" s="3727" t="s">
        <v>1581</v>
      </c>
      <c r="R3" s="3727" t="s">
        <v>1552</v>
      </c>
    </row>
    <row r="4" spans="1:18" ht="36.75" customHeight="1">
      <c r="A4" s="3726"/>
      <c r="B4" s="3726"/>
      <c r="C4" s="3727"/>
      <c r="D4" s="3726"/>
      <c r="E4" s="2253" t="s">
        <v>1559</v>
      </c>
      <c r="F4" s="2253" t="s">
        <v>2023</v>
      </c>
      <c r="G4" s="2253" t="s">
        <v>1553</v>
      </c>
      <c r="H4" s="2253" t="s">
        <v>1554</v>
      </c>
      <c r="I4" s="2253" t="s">
        <v>2024</v>
      </c>
      <c r="J4" s="2253" t="s">
        <v>1553</v>
      </c>
      <c r="K4" s="3727"/>
      <c r="L4" s="3727"/>
      <c r="M4" s="3726"/>
      <c r="N4" s="3728"/>
      <c r="O4" s="3726"/>
      <c r="P4" s="3727"/>
      <c r="Q4" s="3727"/>
      <c r="R4" s="3727"/>
    </row>
    <row r="5" spans="1:18" ht="135" customHeight="1">
      <c r="A5" s="1698" t="s">
        <v>1934</v>
      </c>
      <c r="B5" s="2346" t="s">
        <v>1932</v>
      </c>
      <c r="C5" s="2252">
        <v>22</v>
      </c>
      <c r="D5" s="2251" t="s">
        <v>1933</v>
      </c>
      <c r="E5" s="1597">
        <f>项目基本情况!B12</f>
        <v>0</v>
      </c>
      <c r="F5" s="2251">
        <v>258</v>
      </c>
      <c r="G5" s="1597">
        <f>项目基本情况!B13</f>
        <v>0</v>
      </c>
      <c r="H5" s="2251">
        <v>1.5</v>
      </c>
      <c r="I5" s="2251">
        <v>1.5</v>
      </c>
      <c r="J5" s="2251">
        <v>1.5</v>
      </c>
      <c r="K5" s="1597" t="str">
        <f>"红线外"&amp;项目基本情况!T40&amp;"、宗地红线内"&amp;项目基本情况!B35</f>
        <v>红线外六通、宗地红线内宗地内已开工建设</v>
      </c>
      <c r="L5" s="1597" t="str">
        <f>"红线外"&amp;项目基本情况!T40&amp;"、宗地红线内场地"&amp;项目基本情况!D36</f>
        <v>红线外六通、宗地红线内场地平整</v>
      </c>
      <c r="M5" s="1597">
        <f>IF(项目基本情况!A17="出让",项目基本情况!D20,"——")</f>
        <v>0</v>
      </c>
      <c r="N5" s="1597">
        <f>项目基本情况!C22</f>
        <v>39137.980000000003</v>
      </c>
      <c r="O5" s="1597">
        <f>项目基本情况!C21</f>
        <v>127861.33</v>
      </c>
      <c r="P5" s="1597">
        <f ca="1">结果表!E42</f>
        <v>25641</v>
      </c>
      <c r="Q5" s="1597">
        <f ca="1">结果表!D42</f>
        <v>7849</v>
      </c>
      <c r="R5" s="1598">
        <f ca="1">结果表!C42</f>
        <v>100354</v>
      </c>
    </row>
    <row r="6" spans="1:18">
      <c r="A6" s="3722" t="str">
        <f>IF(项目基本情况!B9="市场价格","——","抵押价格")</f>
        <v>抵押价格</v>
      </c>
      <c r="B6" s="3723"/>
      <c r="C6" s="3723"/>
      <c r="D6" s="3723"/>
      <c r="E6" s="3723"/>
      <c r="F6" s="3723"/>
      <c r="G6" s="3723"/>
      <c r="H6" s="3723"/>
      <c r="I6" s="3723"/>
      <c r="J6" s="3723"/>
      <c r="K6" s="3723"/>
      <c r="L6" s="3723"/>
      <c r="M6" s="3723"/>
      <c r="N6" s="3723"/>
      <c r="O6" s="3723"/>
      <c r="P6" s="3723"/>
      <c r="Q6" s="3724"/>
      <c r="R6" s="1599">
        <f ca="1">结果表!O39</f>
        <v>100354</v>
      </c>
    </row>
    <row r="7" spans="1:18">
      <c r="A7" s="3722" t="str">
        <f>IF(项目基本情况!B9="市场价格","——",IF(项目基本情况!E8="已注销及未注销","抵押担保权已注销时的抵押价格","——"))</f>
        <v>——</v>
      </c>
      <c r="B7" s="3723"/>
      <c r="C7" s="3723"/>
      <c r="D7" s="3723"/>
      <c r="E7" s="3723"/>
      <c r="F7" s="3723"/>
      <c r="G7" s="3723"/>
      <c r="H7" s="3723"/>
      <c r="I7" s="3723"/>
      <c r="J7" s="3723"/>
      <c r="K7" s="3723"/>
      <c r="L7" s="3723"/>
      <c r="M7" s="3723"/>
      <c r="N7" s="3723"/>
      <c r="O7" s="3723"/>
      <c r="P7" s="3723"/>
      <c r="Q7" s="3724"/>
      <c r="R7" s="1599" t="str">
        <f>结果表!O40</f>
        <v>——</v>
      </c>
    </row>
    <row r="8" spans="1:18">
      <c r="A8" s="3722" t="str">
        <f>IF(项目基本情况!B9="市场价格","——",项目基本情况!E9)</f>
        <v>——</v>
      </c>
      <c r="B8" s="3723"/>
      <c r="C8" s="3723"/>
      <c r="D8" s="3723"/>
      <c r="E8" s="3723"/>
      <c r="F8" s="3723"/>
      <c r="G8" s="3723"/>
      <c r="H8" s="3723"/>
      <c r="I8" s="3723"/>
      <c r="J8" s="3723"/>
      <c r="K8" s="3723"/>
      <c r="L8" s="3723"/>
      <c r="M8" s="3723"/>
      <c r="N8" s="3723"/>
      <c r="O8" s="3723"/>
      <c r="P8" s="3723"/>
      <c r="Q8" s="3724"/>
      <c r="R8" s="1599" t="str">
        <f>结果表!O41</f>
        <v>——</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AA67"/>
  <sheetViews>
    <sheetView topLeftCell="A64" workbookViewId="0">
      <pane ySplit="5" topLeftCell="A108" activePane="bottomLeft" state="frozen"/>
      <selection activeCell="A64" sqref="A64"/>
      <selection pane="bottomLeft" activeCell="AA104" sqref="AA104"/>
    </sheetView>
  </sheetViews>
  <sheetFormatPr defaultRowHeight="13.5"/>
  <sheetData>
    <row r="22" spans="27:27">
      <c r="AA22">
        <f>8500/30/46</f>
        <v>6.1594202898550723</v>
      </c>
    </row>
    <row r="64" spans="1:6">
      <c r="A64" s="2988" t="s">
        <v>3570</v>
      </c>
      <c r="B64" s="2988" t="s">
        <v>3551</v>
      </c>
      <c r="C64" s="2988" t="s">
        <v>3552</v>
      </c>
      <c r="D64" s="2988" t="s">
        <v>3553</v>
      </c>
      <c r="E64" s="2988" t="s">
        <v>3555</v>
      </c>
      <c r="F64" s="2988" t="s">
        <v>3557</v>
      </c>
    </row>
    <row r="65" spans="1:6">
      <c r="A65" s="2988" t="s">
        <v>3569</v>
      </c>
      <c r="B65" s="3716">
        <v>45017</v>
      </c>
      <c r="C65">
        <v>27000</v>
      </c>
      <c r="D65" s="2988" t="s">
        <v>3571</v>
      </c>
      <c r="E65" s="2988" t="s">
        <v>3572</v>
      </c>
      <c r="F65">
        <v>2</v>
      </c>
    </row>
    <row r="66" spans="1:6">
      <c r="A66" s="2988" t="s">
        <v>3578</v>
      </c>
      <c r="B66" s="3716">
        <v>45017</v>
      </c>
      <c r="C66">
        <v>32000</v>
      </c>
      <c r="D66" s="2988" t="s">
        <v>3573</v>
      </c>
      <c r="E66" s="2988" t="s">
        <v>3574</v>
      </c>
      <c r="F66">
        <v>2</v>
      </c>
    </row>
    <row r="67" spans="1:6">
      <c r="A67" s="2988" t="s">
        <v>3575</v>
      </c>
      <c r="B67" s="3716">
        <v>45017</v>
      </c>
      <c r="C67">
        <v>29000</v>
      </c>
      <c r="D67" s="2988" t="s">
        <v>3576</v>
      </c>
      <c r="E67" s="2988" t="s">
        <v>3577</v>
      </c>
      <c r="F67">
        <v>3</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30" t="s">
        <v>1582</v>
      </c>
      <c r="B1" s="3730"/>
      <c r="C1" s="3730"/>
      <c r="D1" s="3730"/>
    </row>
    <row r="2" spans="1:4" ht="47.25" customHeight="1">
      <c r="A2" s="3734" t="str">
        <f>"1.权利限制："&amp;项目基本情况!L24&amp;"未设定租赁等其他他项权利。"</f>
        <v>1.权利限制：根据估价对象《不动产权证书》原件、，截至估价期日，估价对象已设定抵押。未设定租赁等其他他项权利。</v>
      </c>
      <c r="B2" s="3734"/>
      <c r="C2" s="3734"/>
      <c r="D2" s="3734"/>
    </row>
    <row r="3" spans="1:4" ht="48" customHeight="1">
      <c r="A3" s="3730"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33" t="s">
        <v>1583</v>
      </c>
      <c r="B5" s="3733"/>
      <c r="C5" s="3733"/>
      <c r="D5" s="3733"/>
    </row>
    <row r="6" spans="1:4">
      <c r="A6" s="3730" t="s">
        <v>1561</v>
      </c>
      <c r="B6" s="3730"/>
      <c r="C6" s="3730"/>
      <c r="D6" s="3730"/>
    </row>
    <row r="7" spans="1:4" ht="33" customHeight="1">
      <c r="A7" s="3730" t="s">
        <v>1854</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33" t="s">
        <v>1585</v>
      </c>
      <c r="B12" s="3733"/>
      <c r="C12" s="3733"/>
      <c r="D12" s="3733"/>
    </row>
    <row r="13" spans="1:4">
      <c r="A13" s="3731" t="s">
        <v>2025</v>
      </c>
      <c r="B13" s="3731"/>
      <c r="C13" s="3731"/>
      <c r="D13" s="3731"/>
    </row>
    <row r="14" spans="1:4">
      <c r="A14" s="3732" t="str">
        <f>IF(项目基本情况!B8="抵押","综上，"&amp;结果表!K47,"——")</f>
        <v>综上，本次评估不存在估价师知悉的法定优先受偿款</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1981</v>
      </c>
      <c r="B17" s="3730"/>
      <c r="C17" s="3730"/>
      <c r="D17" s="3730"/>
    </row>
    <row r="18" spans="1:4">
      <c r="A18" s="3730" t="s">
        <v>1973</v>
      </c>
      <c r="B18" s="3730"/>
      <c r="C18" s="3730"/>
      <c r="D18" s="3730"/>
    </row>
    <row r="19" spans="1:4">
      <c r="A19" s="2347" t="s">
        <v>1974</v>
      </c>
      <c r="B19" s="2347" t="s">
        <v>1975</v>
      </c>
      <c r="C19" s="2347" t="s">
        <v>1976</v>
      </c>
      <c r="D19" s="2347" t="s">
        <v>1977</v>
      </c>
    </row>
    <row r="20" spans="1:4">
      <c r="A20" s="2347" t="str">
        <f>项目基本情况!B4</f>
        <v>吴薇</v>
      </c>
      <c r="B20" s="2347">
        <f ca="1">项目基本情况!C4</f>
        <v>2002110125</v>
      </c>
      <c r="C20" s="2349"/>
      <c r="D20" s="1587" t="s">
        <v>1982</v>
      </c>
    </row>
    <row r="21" spans="1:4">
      <c r="A21" s="2347" t="str">
        <f>项目基本情况!D4</f>
        <v>郑燚</v>
      </c>
      <c r="B21" s="2347">
        <f ca="1">项目基本情况!E4</f>
        <v>2014110011</v>
      </c>
      <c r="C21" s="2349"/>
      <c r="D21" s="1587" t="s">
        <v>1983</v>
      </c>
    </row>
    <row r="23" spans="1:4">
      <c r="A23" s="3730" t="s">
        <v>1978</v>
      </c>
      <c r="B23" s="3730"/>
      <c r="C23" s="3730"/>
      <c r="D23" s="3730"/>
    </row>
    <row r="24" spans="1:4">
      <c r="A24" s="2347" t="s">
        <v>1974</v>
      </c>
      <c r="B24" s="2347" t="s">
        <v>1979</v>
      </c>
      <c r="C24" s="2347" t="s">
        <v>1976</v>
      </c>
      <c r="D24" s="2347" t="s">
        <v>1977</v>
      </c>
    </row>
    <row r="25" spans="1:4">
      <c r="A25" s="2350" t="s">
        <v>1980</v>
      </c>
      <c r="B25" s="2347" t="s">
        <v>877</v>
      </c>
      <c r="C25" s="2349"/>
      <c r="D25" s="1587" t="s">
        <v>1983</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42" t="s">
        <v>27</v>
      </c>
      <c r="B15" s="3743" t="s">
        <v>784</v>
      </c>
      <c r="C15" s="3739"/>
    </row>
    <row r="16" spans="1:7" ht="14.25">
      <c r="A16" s="3742"/>
      <c r="B16" s="3740" t="s">
        <v>28</v>
      </c>
      <c r="C16" s="1069" t="s">
        <v>27</v>
      </c>
    </row>
    <row r="17" spans="1:3" ht="14.25">
      <c r="A17" s="3742"/>
      <c r="B17" s="3740"/>
      <c r="C17" s="1069" t="s">
        <v>29</v>
      </c>
    </row>
    <row r="18" spans="1:3" ht="14.25">
      <c r="A18" s="3742"/>
      <c r="B18" s="3740"/>
      <c r="C18" s="1069" t="s">
        <v>30</v>
      </c>
    </row>
    <row r="19" spans="1:3" ht="14.25">
      <c r="A19" s="3742"/>
      <c r="B19" s="3738" t="s">
        <v>31</v>
      </c>
      <c r="C19" s="3739"/>
    </row>
    <row r="20" spans="1:3" ht="14.25">
      <c r="A20" s="1070" t="s">
        <v>32</v>
      </c>
      <c r="B20" s="1071"/>
      <c r="C20" s="1072"/>
    </row>
    <row r="21" spans="1:3" ht="14.25">
      <c r="A21" s="3741" t="s">
        <v>33</v>
      </c>
      <c r="B21" s="3738" t="s">
        <v>34</v>
      </c>
      <c r="C21" s="3739"/>
    </row>
    <row r="22" spans="1:3" ht="14.25">
      <c r="A22" s="3741"/>
      <c r="B22" s="3738" t="s">
        <v>35</v>
      </c>
      <c r="C22" s="3739"/>
    </row>
    <row r="23" spans="1:3" ht="14.25">
      <c r="A23" s="3741"/>
      <c r="B23" s="3738" t="s">
        <v>36</v>
      </c>
      <c r="C23" s="3739"/>
    </row>
    <row r="24" spans="1:3" ht="14.25">
      <c r="A24" s="3741"/>
      <c r="B24" s="3744" t="s">
        <v>37</v>
      </c>
      <c r="C24" s="1073" t="s">
        <v>775</v>
      </c>
    </row>
    <row r="25" spans="1:3" ht="14.25">
      <c r="A25" s="3741"/>
      <c r="B25" s="3745"/>
      <c r="C25" s="1073" t="s">
        <v>776</v>
      </c>
    </row>
    <row r="26" spans="1:3" ht="14.25">
      <c r="A26" s="3741"/>
      <c r="B26" s="3745"/>
      <c r="C26" s="1073" t="s">
        <v>777</v>
      </c>
    </row>
    <row r="27" spans="1:3" ht="14.25">
      <c r="A27" s="3741"/>
      <c r="B27" s="3745"/>
      <c r="C27" s="1073" t="s">
        <v>778</v>
      </c>
    </row>
    <row r="28" spans="1:3" ht="14.25">
      <c r="A28" s="3741"/>
      <c r="B28" s="3745"/>
      <c r="C28" s="1073" t="s">
        <v>779</v>
      </c>
    </row>
    <row r="29" spans="1:3" ht="14.25">
      <c r="A29" s="3741"/>
      <c r="B29" s="3745"/>
      <c r="C29" s="1073" t="s">
        <v>780</v>
      </c>
    </row>
    <row r="30" spans="1:3" ht="14.25">
      <c r="A30" s="3741"/>
      <c r="B30" s="3745"/>
      <c r="C30" s="1073" t="s">
        <v>781</v>
      </c>
    </row>
    <row r="31" spans="1:3" ht="14.25">
      <c r="A31" s="3741"/>
      <c r="B31" s="3745"/>
      <c r="C31" s="1073" t="s">
        <v>782</v>
      </c>
    </row>
    <row r="32" spans="1:3" ht="14.25">
      <c r="A32" s="3741"/>
      <c r="B32" s="3745"/>
      <c r="C32" s="1073" t="s">
        <v>1181</v>
      </c>
    </row>
    <row r="33" spans="1:3" ht="14.25">
      <c r="A33" s="3741"/>
      <c r="B33" s="3735" t="s">
        <v>1187</v>
      </c>
      <c r="C33" s="1073" t="s">
        <v>1182</v>
      </c>
    </row>
    <row r="34" spans="1:3" ht="14.25">
      <c r="A34" s="3741"/>
      <c r="B34" s="3736"/>
      <c r="C34" s="1078" t="s">
        <v>1183</v>
      </c>
    </row>
    <row r="35" spans="1:3" ht="14.25">
      <c r="A35" s="3741"/>
      <c r="B35" s="3736"/>
      <c r="C35" s="1079" t="s">
        <v>1184</v>
      </c>
    </row>
    <row r="36" spans="1:3" ht="14.25">
      <c r="A36" s="3741"/>
      <c r="B36" s="3736"/>
      <c r="C36" s="1079" t="s">
        <v>1185</v>
      </c>
    </row>
    <row r="37" spans="1:3" ht="14.25">
      <c r="A37" s="3741"/>
      <c r="B37" s="3737"/>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45039</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2231</v>
      </c>
      <c r="B12" s="2772">
        <f ca="1">IF(C12&lt;B2,"已过期",1120040230)</f>
        <v>1120040230</v>
      </c>
      <c r="C12" s="2775">
        <v>45937</v>
      </c>
      <c r="D12" s="2783" t="s">
        <v>2232</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2242</v>
      </c>
      <c r="B15" s="2772" t="str">
        <f ca="1">IF(C15&lt;B2,"已过期",1119980106)</f>
        <v>已过期</v>
      </c>
      <c r="C15" s="2775">
        <v>44969</v>
      </c>
      <c r="D15" s="2783"/>
      <c r="E15" s="2772"/>
      <c r="F15" s="2772"/>
      <c r="G15" s="2767"/>
    </row>
    <row r="16" spans="1:7" ht="20.25" customHeight="1">
      <c r="A16" s="2771" t="s">
        <v>2442</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49" t="s">
        <v>1448</v>
      </c>
      <c r="B18" s="3750"/>
      <c r="C18" s="3750"/>
      <c r="D18" s="3750"/>
      <c r="E18" s="3750"/>
      <c r="F18" s="3750"/>
      <c r="G18" s="2776"/>
    </row>
    <row r="19" spans="1:7" ht="20.25" customHeight="1">
      <c r="A19" s="3746" t="s">
        <v>1449</v>
      </c>
      <c r="B19" s="3746"/>
      <c r="C19" s="3747"/>
      <c r="D19" s="3748" t="s">
        <v>1450</v>
      </c>
      <c r="E19" s="3746"/>
      <c r="F19" s="3746"/>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2443</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9" priority="151">
      <formula>AND($C5-TODAY()&lt;30,TODAY()&lt;$C5)</formula>
    </cfRule>
  </conditionalFormatting>
  <conditionalFormatting sqref="C21">
    <cfRule type="expression" dxfId="248" priority="150">
      <formula>AND($C21-TODAY()&lt;30,TODAY()&lt;$C21)</formula>
    </cfRule>
  </conditionalFormatting>
  <conditionalFormatting sqref="C21 F4 C5 C13">
    <cfRule type="cellIs" dxfId="247" priority="152" stopIfTrue="1" operator="lessThan">
      <formula>$B$2</formula>
    </cfRule>
  </conditionalFormatting>
  <conditionalFormatting sqref="F5 F7 F9">
    <cfRule type="cellIs" dxfId="246" priority="146" stopIfTrue="1" operator="lessThan">
      <formula>$B$2</formula>
    </cfRule>
  </conditionalFormatting>
  <conditionalFormatting sqref="C17:D17">
    <cfRule type="expression" dxfId="245" priority="144">
      <formula>AND($C17-TODAY()&lt;30,TODAY()&lt;$C17)</formula>
    </cfRule>
  </conditionalFormatting>
  <conditionalFormatting sqref="F6 F8 F10 C17:D17">
    <cfRule type="cellIs" dxfId="244" priority="145" stopIfTrue="1" operator="lessThan">
      <formula>$B$2</formula>
    </cfRule>
  </conditionalFormatting>
  <conditionalFormatting sqref="F14">
    <cfRule type="cellIs" dxfId="243" priority="116" stopIfTrue="1" operator="lessThan">
      <formula>$B$2</formula>
    </cfRule>
  </conditionalFormatting>
  <conditionalFormatting sqref="F13">
    <cfRule type="cellIs" dxfId="242" priority="115" stopIfTrue="1" operator="lessThan">
      <formula>$B$2</formula>
    </cfRule>
  </conditionalFormatting>
  <conditionalFormatting sqref="B4:B11 E4:E11 E13:E16 B13:B16">
    <cfRule type="cellIs" dxfId="241" priority="113" stopIfTrue="1" operator="equal">
      <formula>"已过期"</formula>
    </cfRule>
  </conditionalFormatting>
  <conditionalFormatting sqref="C6">
    <cfRule type="expression" dxfId="240" priority="84">
      <formula>AND($C6-TODAY()&lt;30,TODAY()&lt;$C6)</formula>
    </cfRule>
  </conditionalFormatting>
  <conditionalFormatting sqref="C6">
    <cfRule type="cellIs" dxfId="239" priority="85" stopIfTrue="1" operator="lessThan">
      <formula>$B$2</formula>
    </cfRule>
  </conditionalFormatting>
  <conditionalFormatting sqref="C11 C15:C16">
    <cfRule type="expression" dxfId="238" priority="82">
      <formula>AND($C11-TODAY()&lt;30,TODAY()&lt;$C11)</formula>
    </cfRule>
  </conditionalFormatting>
  <conditionalFormatting sqref="C11 C15:C16">
    <cfRule type="cellIs" dxfId="237" priority="83" stopIfTrue="1" operator="lessThan">
      <formula>$B$2</formula>
    </cfRule>
  </conditionalFormatting>
  <conditionalFormatting sqref="F11">
    <cfRule type="cellIs" dxfId="236" priority="81" stopIfTrue="1" operator="lessThan">
      <formula>$B$2</formula>
    </cfRule>
  </conditionalFormatting>
  <conditionalFormatting sqref="C14">
    <cfRule type="expression" dxfId="235" priority="62">
      <formula>AND($C14-TODAY()&lt;30,TODAY()&lt;$C14)</formula>
    </cfRule>
  </conditionalFormatting>
  <conditionalFormatting sqref="C14">
    <cfRule type="cellIs" dxfId="234" priority="63" stopIfTrue="1" operator="lessThan">
      <formula>$B$2</formula>
    </cfRule>
  </conditionalFormatting>
  <conditionalFormatting sqref="C12">
    <cfRule type="cellIs" dxfId="233" priority="56" stopIfTrue="1" operator="lessThan">
      <formula>$B$2</formula>
    </cfRule>
  </conditionalFormatting>
  <conditionalFormatting sqref="C12">
    <cfRule type="expression" dxfId="232" priority="53">
      <formula>AND($C12-TODAY()&lt;30,TODAY()&lt;$C12)</formula>
    </cfRule>
  </conditionalFormatting>
  <conditionalFormatting sqref="C12">
    <cfRule type="cellIs" dxfId="231" priority="54" stopIfTrue="1" operator="lessThan">
      <formula>$B$2</formula>
    </cfRule>
  </conditionalFormatting>
  <conditionalFormatting sqref="B12">
    <cfRule type="cellIs" dxfId="230" priority="50" stopIfTrue="1" operator="equal">
      <formula>"已过期"</formula>
    </cfRule>
  </conditionalFormatting>
  <conditionalFormatting sqref="E12">
    <cfRule type="cellIs" dxfId="229" priority="40" stopIfTrue="1" operator="equal">
      <formula>"已过期"</formula>
    </cfRule>
  </conditionalFormatting>
  <conditionalFormatting sqref="F12">
    <cfRule type="cellIs" dxfId="228" priority="39" stopIfTrue="1" operator="lessThan">
      <formula>$B$2</formula>
    </cfRule>
  </conditionalFormatting>
  <conditionalFormatting sqref="C9:C10">
    <cfRule type="expression" dxfId="227" priority="35">
      <formula>AND($C9-TODAY()&lt;30,TODAY()&lt;$C9)</formula>
    </cfRule>
  </conditionalFormatting>
  <conditionalFormatting sqref="C9:C10">
    <cfRule type="cellIs" dxfId="226" priority="36" stopIfTrue="1" operator="lessThan">
      <formula>$B$2</formula>
    </cfRule>
  </conditionalFormatting>
  <conditionalFormatting sqref="F22">
    <cfRule type="cellIs" dxfId="225" priority="15" stopIfTrue="1" operator="lessThan">
      <formula>$B$2</formula>
    </cfRule>
  </conditionalFormatting>
  <conditionalFormatting sqref="F22">
    <cfRule type="expression" dxfId="224" priority="16">
      <formula>AND($E22-TODAY()&lt;30,TODAY()&lt;$E22)</formula>
    </cfRule>
  </conditionalFormatting>
  <conditionalFormatting sqref="C7:C8">
    <cfRule type="expression" dxfId="223" priority="7">
      <formula>AND($C7-TODAY()&lt;30,TODAY()&lt;$C7)</formula>
    </cfRule>
  </conditionalFormatting>
  <conditionalFormatting sqref="C7:C8">
    <cfRule type="cellIs" dxfId="222" priority="8" stopIfTrue="1" operator="lessThan">
      <formula>$B$2</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4">
    <cfRule type="expression" dxfId="219" priority="3">
      <formula>AND($C4-TODAY()&lt;30,TODAY()&lt;$C4)</formula>
    </cfRule>
  </conditionalFormatting>
  <conditionalFormatting sqref="C4">
    <cfRule type="cellIs" dxfId="218" priority="4" stopIfTrue="1" operator="lessThan">
      <formula>$B$2</formula>
    </cfRule>
  </conditionalFormatting>
  <conditionalFormatting sqref="F21">
    <cfRule type="cellIs" dxfId="217" priority="1" stopIfTrue="1" operator="lessThan">
      <formula>$B$2</formula>
    </cfRule>
  </conditionalFormatting>
  <conditionalFormatting sqref="F21">
    <cfRule type="expression" dxfId="21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E24" sqref="E24"/>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2755</v>
      </c>
      <c r="E1" s="4" t="s">
        <v>100</v>
      </c>
      <c r="F1" s="4" t="s">
        <v>101</v>
      </c>
      <c r="G1" s="4" t="s">
        <v>102</v>
      </c>
      <c r="H1" s="4" t="s">
        <v>103</v>
      </c>
      <c r="I1" s="4" t="s">
        <v>104</v>
      </c>
      <c r="J1" s="4" t="s">
        <v>105</v>
      </c>
      <c r="K1" s="4" t="s">
        <v>106</v>
      </c>
      <c r="L1" s="4" t="s">
        <v>107</v>
      </c>
      <c r="M1" s="4" t="s">
        <v>108</v>
      </c>
      <c r="N1" s="4" t="s">
        <v>109</v>
      </c>
      <c r="O1" s="4" t="s">
        <v>110</v>
      </c>
      <c r="P1" s="4" t="s">
        <v>111</v>
      </c>
      <c r="Q1" s="2196" t="s">
        <v>1825</v>
      </c>
      <c r="R1" s="2195" t="s">
        <v>1819</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2741</v>
      </c>
      <c r="J2" s="7" t="s">
        <v>98</v>
      </c>
      <c r="K2" s="7" t="s">
        <v>49</v>
      </c>
      <c r="L2" s="7" t="s">
        <v>49</v>
      </c>
      <c r="M2" s="7" t="s">
        <v>49</v>
      </c>
      <c r="N2" s="7" t="s">
        <v>49</v>
      </c>
      <c r="O2" s="7" t="s">
        <v>49</v>
      </c>
      <c r="P2" s="966" t="s">
        <v>817</v>
      </c>
      <c r="Q2" s="7" t="s">
        <v>49</v>
      </c>
      <c r="R2" s="966" t="s">
        <v>1820</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2742</v>
      </c>
      <c r="J3" s="7" t="s">
        <v>56</v>
      </c>
      <c r="K3" s="7" t="s">
        <v>57</v>
      </c>
      <c r="L3" s="7" t="s">
        <v>57</v>
      </c>
      <c r="M3" s="7" t="s">
        <v>57</v>
      </c>
      <c r="N3" s="7" t="s">
        <v>57</v>
      </c>
      <c r="O3" s="7" t="s">
        <v>57</v>
      </c>
      <c r="P3" s="966" t="s">
        <v>548</v>
      </c>
      <c r="Q3" s="7" t="s">
        <v>57</v>
      </c>
      <c r="R3" s="966" t="s">
        <v>1821</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2743</v>
      </c>
      <c r="K4" s="7" t="s">
        <v>64</v>
      </c>
      <c r="L4" s="7" t="s">
        <v>64</v>
      </c>
      <c r="M4" s="7" t="s">
        <v>64</v>
      </c>
      <c r="N4" s="7" t="s">
        <v>64</v>
      </c>
      <c r="O4" s="7" t="s">
        <v>64</v>
      </c>
      <c r="P4" s="966" t="s">
        <v>700</v>
      </c>
      <c r="Q4" s="7" t="s">
        <v>64</v>
      </c>
      <c r="R4" s="966" t="s">
        <v>1822</v>
      </c>
      <c r="S4" s="7" t="s">
        <v>64</v>
      </c>
      <c r="T4" s="7" t="s">
        <v>65</v>
      </c>
      <c r="U4" s="7" t="s">
        <v>64</v>
      </c>
      <c r="W4" s="7" t="s">
        <v>814</v>
      </c>
    </row>
    <row r="5" spans="1:23">
      <c r="A5" s="6" t="s">
        <v>66</v>
      </c>
      <c r="B5" s="6" t="s">
        <v>119</v>
      </c>
      <c r="C5" s="1367" t="s">
        <v>1241</v>
      </c>
      <c r="F5" s="7" t="s">
        <v>67</v>
      </c>
      <c r="G5" s="7">
        <v>70</v>
      </c>
      <c r="H5" s="7" t="s">
        <v>44</v>
      </c>
      <c r="I5" s="7" t="s">
        <v>2744</v>
      </c>
      <c r="K5" s="7" t="s">
        <v>68</v>
      </c>
      <c r="L5" s="7" t="s">
        <v>68</v>
      </c>
      <c r="M5" s="7" t="s">
        <v>68</v>
      </c>
      <c r="N5" s="7" t="s">
        <v>68</v>
      </c>
      <c r="O5" s="7" t="s">
        <v>68</v>
      </c>
      <c r="P5" s="966" t="s">
        <v>495</v>
      </c>
      <c r="Q5" s="7" t="s">
        <v>68</v>
      </c>
      <c r="R5" s="966" t="s">
        <v>1823</v>
      </c>
      <c r="S5" s="7" t="s">
        <v>68</v>
      </c>
      <c r="T5" s="7" t="s">
        <v>69</v>
      </c>
      <c r="U5" s="7" t="s">
        <v>68</v>
      </c>
      <c r="W5" s="7" t="s">
        <v>815</v>
      </c>
    </row>
    <row r="6" spans="1:23">
      <c r="A6" s="6" t="s">
        <v>70</v>
      </c>
      <c r="B6" s="1047" t="s">
        <v>1176</v>
      </c>
      <c r="C6" s="1369" t="s">
        <v>1242</v>
      </c>
      <c r="F6" s="7" t="s">
        <v>45</v>
      </c>
      <c r="H6" s="7" t="s">
        <v>46</v>
      </c>
      <c r="I6" s="7" t="s">
        <v>2745</v>
      </c>
      <c r="K6" s="7" t="s">
        <v>71</v>
      </c>
      <c r="L6" s="7" t="s">
        <v>71</v>
      </c>
      <c r="M6" s="7" t="s">
        <v>71</v>
      </c>
      <c r="N6" s="7" t="s">
        <v>71</v>
      </c>
      <c r="O6" s="7" t="s">
        <v>71</v>
      </c>
      <c r="P6" s="966" t="s">
        <v>818</v>
      </c>
      <c r="Q6" s="7" t="s">
        <v>71</v>
      </c>
      <c r="R6" s="966" t="s">
        <v>1824</v>
      </c>
      <c r="S6" s="7" t="s">
        <v>71</v>
      </c>
      <c r="T6" s="7"/>
      <c r="U6" s="7" t="s">
        <v>71</v>
      </c>
      <c r="W6" s="7" t="s">
        <v>816</v>
      </c>
    </row>
    <row r="7" spans="1:23">
      <c r="A7" s="6" t="s">
        <v>72</v>
      </c>
      <c r="B7" s="6" t="s">
        <v>73</v>
      </c>
      <c r="C7" s="1367" t="s">
        <v>1243</v>
      </c>
      <c r="F7" s="7" t="s">
        <v>120</v>
      </c>
      <c r="H7" s="7" t="s">
        <v>74</v>
      </c>
      <c r="I7" s="7" t="s">
        <v>2746</v>
      </c>
    </row>
    <row r="8" spans="1:23">
      <c r="A8" s="6" t="s">
        <v>75</v>
      </c>
      <c r="B8" s="6" t="s">
        <v>76</v>
      </c>
      <c r="C8" s="1367" t="s">
        <v>1244</v>
      </c>
      <c r="F8" s="7" t="s">
        <v>121</v>
      </c>
      <c r="H8" s="3335" t="s">
        <v>2740</v>
      </c>
      <c r="I8" s="7" t="s">
        <v>2747</v>
      </c>
    </row>
    <row r="9" spans="1:23">
      <c r="A9" s="6" t="s">
        <v>77</v>
      </c>
      <c r="B9" s="6" t="s">
        <v>122</v>
      </c>
      <c r="C9" s="1367" t="s">
        <v>1245</v>
      </c>
      <c r="F9" s="7" t="s">
        <v>78</v>
      </c>
      <c r="H9" s="7"/>
      <c r="I9" s="7" t="s">
        <v>2748</v>
      </c>
    </row>
    <row r="10" spans="1:23">
      <c r="A10" s="6" t="s">
        <v>79</v>
      </c>
      <c r="B10" s="6" t="s">
        <v>123</v>
      </c>
      <c r="C10" s="1367" t="s">
        <v>1246</v>
      </c>
      <c r="F10" s="3335" t="s">
        <v>2739</v>
      </c>
      <c r="I10" s="7" t="s">
        <v>2749</v>
      </c>
    </row>
    <row r="11" spans="1:23">
      <c r="A11" s="6" t="s">
        <v>80</v>
      </c>
      <c r="B11" s="6" t="s">
        <v>124</v>
      </c>
      <c r="C11" s="1367" t="s">
        <v>1247</v>
      </c>
      <c r="I11" s="7" t="s">
        <v>2750</v>
      </c>
    </row>
    <row r="12" spans="1:23">
      <c r="A12" s="6" t="s">
        <v>81</v>
      </c>
      <c r="B12" s="6" t="s">
        <v>125</v>
      </c>
      <c r="C12" s="1367" t="s">
        <v>1248</v>
      </c>
      <c r="I12" s="7" t="s">
        <v>2751</v>
      </c>
    </row>
    <row r="13" spans="1:23">
      <c r="A13" s="6" t="s">
        <v>82</v>
      </c>
      <c r="B13" s="6" t="s">
        <v>126</v>
      </c>
      <c r="C13" s="1367" t="s">
        <v>1249</v>
      </c>
      <c r="I13" s="7" t="s">
        <v>2752</v>
      </c>
    </row>
    <row r="14" spans="1:23">
      <c r="A14" s="6" t="s">
        <v>83</v>
      </c>
      <c r="B14" s="6" t="s">
        <v>127</v>
      </c>
      <c r="C14" s="1370" t="s">
        <v>1421</v>
      </c>
      <c r="I14" s="7" t="s">
        <v>2753</v>
      </c>
    </row>
    <row r="15" spans="1:23">
      <c r="A15" s="6" t="s">
        <v>84</v>
      </c>
      <c r="B15" s="6" t="s">
        <v>1214</v>
      </c>
      <c r="C15" s="1370"/>
      <c r="I15" s="7" t="s">
        <v>2754</v>
      </c>
    </row>
    <row r="16" spans="1:23">
      <c r="A16" s="6" t="s">
        <v>85</v>
      </c>
      <c r="B16" s="6" t="s">
        <v>1215</v>
      </c>
      <c r="C16" s="1370"/>
    </row>
    <row r="17" spans="1:3">
      <c r="A17" s="6" t="s">
        <v>86</v>
      </c>
      <c r="B17" s="6" t="s">
        <v>1216</v>
      </c>
      <c r="C17" s="1370"/>
    </row>
    <row r="18" spans="1:3">
      <c r="A18" s="6" t="s">
        <v>87</v>
      </c>
      <c r="B18" s="2546" t="s">
        <v>2208</v>
      </c>
      <c r="C18" s="1370"/>
    </row>
    <row r="19" spans="1:3">
      <c r="A19" s="6" t="s">
        <v>88</v>
      </c>
      <c r="B19" s="2546" t="s">
        <v>2215</v>
      </c>
      <c r="C19" s="1370"/>
    </row>
    <row r="20" spans="1:3">
      <c r="A20" s="6" t="s">
        <v>89</v>
      </c>
      <c r="B20" s="2546" t="s">
        <v>2255</v>
      </c>
      <c r="C20" s="1370"/>
    </row>
    <row r="21" spans="1:3">
      <c r="A21" s="6" t="s">
        <v>90</v>
      </c>
      <c r="B21" s="6" t="s">
        <v>2434</v>
      </c>
      <c r="C21" s="1370"/>
    </row>
    <row r="22" spans="1:3">
      <c r="A22" s="6" t="s">
        <v>91</v>
      </c>
      <c r="B22" s="6" t="s">
        <v>3484</v>
      </c>
      <c r="C22" s="1370"/>
    </row>
    <row r="23" spans="1:3">
      <c r="A23" s="6" t="s">
        <v>92</v>
      </c>
      <c r="B23" s="6" t="s">
        <v>3491</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海南省三亚市吉阳区抱坡村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51"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18日，在规划利用条件下、设定土地开发程度为红线外“六通”、宗地内场地平整，设定用途为，剩余土地使用年限为的出让国有建设用地使用权价格。</v>
      </c>
      <c r="D53" s="1557"/>
      <c r="E53" s="1557"/>
    </row>
    <row r="54" spans="1:5">
      <c r="A54" s="3751"/>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1"/>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1"/>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1"/>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7"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抵押权清单</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不动产比较法-公寓</vt:lpstr>
      <vt:lpstr>不动产比较法-商业</vt:lpstr>
      <vt:lpstr>不动产收益法-商业</vt:lpstr>
      <vt:lpstr>不动产收益法-车库</vt:lpstr>
      <vt:lpstr>资料</vt:lpstr>
      <vt:lpstr>案例-土地</vt:lpstr>
      <vt:lpstr>住宅-案例</vt:lpstr>
      <vt:lpstr>其他-案例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2023-04-23T08:21:28Z</dcterms:modified>
</cp:coreProperties>
</file>