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上）" sheetId="31" r:id="rId39"/>
    <sheet name="典型户型修正 (下)" sheetId="78" r:id="rId40"/>
    <sheet name="抵押物清单"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9">'典型户型修正 (下)'!$5:$5</definedName>
    <definedName name="一修多修正项2">'典型户型修正（上）'!$5:$5</definedName>
    <definedName name="一修多修正项3" localSheetId="39">'典型户型修正 (下)'!$7:$7</definedName>
    <definedName name="一修多修正项3">'典型户型修正（上）'!$7:$7</definedName>
    <definedName name="一修多修正项4" localSheetId="39">'典型户型修正 (下)'!$9:$9</definedName>
    <definedName name="一修多修正项4">'典型户型修正（上）'!$9:$9</definedName>
    <definedName name="一修多修正项5" localSheetId="39">'典型户型修正 (下)'!$11:$11</definedName>
    <definedName name="一修多修正项5">'典型户型修正（上）'!$11:$11</definedName>
    <definedName name="一修多修正项6" localSheetId="39">'典型户型修正 (下)'!$13:$13</definedName>
    <definedName name="一修多修正项6">'典型户型修正（上）'!$13:$13</definedName>
    <definedName name="一修多修正项7" localSheetId="39">'典型户型修正 (下)'!$15:$15</definedName>
    <definedName name="一修多修正项7">'典型户型修正（上）'!$15:$15</definedName>
    <definedName name="一修多修正项8" localSheetId="39">'典型户型修正 (下)'!$17:$17</definedName>
    <definedName name="一修多修正项8">'典型户型修正（上）'!$17:$17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D74" i="77"/>
  <c r="K14" i="3" l="1"/>
  <c r="B26" i="78"/>
  <c r="B27" i="78"/>
  <c r="B28" i="78"/>
  <c r="B29" i="78"/>
  <c r="B30" i="78"/>
  <c r="B31" i="78"/>
  <c r="B32" i="78"/>
  <c r="B33" i="78"/>
  <c r="B34" i="78"/>
  <c r="B35" i="78"/>
  <c r="B36" i="78"/>
  <c r="B37" i="78"/>
  <c r="B38" i="78"/>
  <c r="B39" i="78"/>
  <c r="B40" i="78"/>
  <c r="B41" i="78"/>
  <c r="B42" i="78"/>
  <c r="B43" i="78"/>
  <c r="B44" i="78"/>
  <c r="B45" i="78"/>
  <c r="B46" i="78"/>
  <c r="B47" i="78"/>
  <c r="B48" i="78"/>
  <c r="B49" i="78"/>
  <c r="B50" i="78"/>
  <c r="B51" i="78"/>
  <c r="B52" i="78"/>
  <c r="B53" i="78"/>
  <c r="B54" i="78"/>
  <c r="B55" i="78"/>
  <c r="B56" i="78"/>
  <c r="B57" i="78"/>
  <c r="B58" i="78"/>
  <c r="B59" i="78"/>
  <c r="B60" i="78"/>
  <c r="B61" i="78"/>
  <c r="B62" i="78"/>
  <c r="B63" i="78"/>
  <c r="B64" i="78"/>
  <c r="B65" i="78"/>
  <c r="B66" i="78"/>
  <c r="B67" i="78"/>
  <c r="B68" i="78"/>
  <c r="B69" i="78"/>
  <c r="B70" i="78"/>
  <c r="B71" i="78"/>
  <c r="B72" i="78"/>
  <c r="B73" i="78"/>
  <c r="B74" i="78"/>
  <c r="B75" i="78"/>
  <c r="B76" i="78"/>
  <c r="B77" i="78"/>
  <c r="B78" i="78"/>
  <c r="B79" i="78"/>
  <c r="B80" i="78"/>
  <c r="B81" i="78"/>
  <c r="B82" i="78"/>
  <c r="B83" i="78"/>
  <c r="B84" i="78"/>
  <c r="B85" i="78"/>
  <c r="B86" i="78"/>
  <c r="B87" i="78"/>
  <c r="B88" i="78"/>
  <c r="B89" i="78"/>
  <c r="B90" i="78"/>
  <c r="B91" i="78"/>
  <c r="B92" i="78"/>
  <c r="B93" i="78"/>
  <c r="B94" i="78"/>
  <c r="B95" i="78"/>
  <c r="B96" i="78"/>
  <c r="B97" i="78"/>
  <c r="B98" i="78"/>
  <c r="B99" i="78"/>
  <c r="B100" i="78"/>
  <c r="B101" i="78"/>
  <c r="B102" i="78"/>
  <c r="B103" i="78"/>
  <c r="B104" i="78"/>
  <c r="B105" i="78"/>
  <c r="B106" i="78"/>
  <c r="B107" i="78"/>
  <c r="B108" i="78"/>
  <c r="B109" i="78"/>
  <c r="B110" i="78"/>
  <c r="B111" i="78"/>
  <c r="B112" i="78"/>
  <c r="B113" i="78"/>
  <c r="B114" i="78"/>
  <c r="B115" i="78"/>
  <c r="B116" i="78"/>
  <c r="B117" i="78"/>
  <c r="B118" i="78"/>
  <c r="B119" i="78"/>
  <c r="B120" i="78"/>
  <c r="B121" i="78"/>
  <c r="B122" i="78"/>
  <c r="B123" i="78"/>
  <c r="B124" i="78"/>
  <c r="B125" i="78"/>
  <c r="B126" i="78"/>
  <c r="B127" i="78"/>
  <c r="B128" i="78"/>
  <c r="B129" i="78"/>
  <c r="B130" i="78"/>
  <c r="B131" i="78"/>
  <c r="B132" i="78"/>
  <c r="B133" i="78"/>
  <c r="B134" i="78"/>
  <c r="B135" i="78"/>
  <c r="B136" i="78"/>
  <c r="B137" i="78"/>
  <c r="B138" i="78"/>
  <c r="B139" i="78"/>
  <c r="B140" i="78"/>
  <c r="B141" i="78"/>
  <c r="B142" i="78"/>
  <c r="B143" i="78"/>
  <c r="B144" i="78"/>
  <c r="B145" i="78"/>
  <c r="B146" i="78"/>
  <c r="B147" i="78"/>
  <c r="B148" i="78"/>
  <c r="B149" i="78"/>
  <c r="B150" i="78"/>
  <c r="B151" i="78"/>
  <c r="B152" i="78"/>
  <c r="B153" i="78"/>
  <c r="B154" i="78"/>
  <c r="B155" i="78"/>
  <c r="B156" i="78"/>
  <c r="B157" i="78"/>
  <c r="B158" i="78"/>
  <c r="B159" i="78"/>
  <c r="B160" i="78"/>
  <c r="B161" i="78"/>
  <c r="B162" i="78"/>
  <c r="B163" i="78"/>
  <c r="B164" i="78"/>
  <c r="B165" i="78"/>
  <c r="B166" i="78"/>
  <c r="B167" i="78"/>
  <c r="B168" i="78"/>
  <c r="B169" i="78"/>
  <c r="B170" i="78"/>
  <c r="B171" i="78"/>
  <c r="B172" i="78"/>
  <c r="B173" i="78"/>
  <c r="B174" i="78"/>
  <c r="B175" i="78"/>
  <c r="B176" i="78"/>
  <c r="B177" i="78"/>
  <c r="B178" i="78"/>
  <c r="B179" i="78"/>
  <c r="B180" i="78"/>
  <c r="B181" i="78"/>
  <c r="B182" i="78"/>
  <c r="B183" i="78"/>
  <c r="B184" i="78"/>
  <c r="B185" i="78"/>
  <c r="B186" i="78"/>
  <c r="B187" i="78"/>
  <c r="B188" i="78"/>
  <c r="B189" i="78"/>
  <c r="B190" i="78"/>
  <c r="B191" i="78"/>
  <c r="B192" i="78"/>
  <c r="B193" i="78"/>
  <c r="B194" i="78"/>
  <c r="B195" i="78"/>
  <c r="B196" i="78"/>
  <c r="B197" i="78"/>
  <c r="B198" i="78"/>
  <c r="B199" i="78"/>
  <c r="B200" i="78"/>
  <c r="B201" i="78"/>
  <c r="B202" i="78"/>
  <c r="B203" i="78"/>
  <c r="B204" i="78"/>
  <c r="B205" i="78"/>
  <c r="B206" i="78"/>
  <c r="B207" i="78"/>
  <c r="B208" i="78"/>
  <c r="B209" i="78"/>
  <c r="B210" i="78"/>
  <c r="B211" i="78"/>
  <c r="B212" i="78"/>
  <c r="B213" i="78"/>
  <c r="B214" i="78"/>
  <c r="B215" i="78"/>
  <c r="B216" i="78"/>
  <c r="B217" i="78"/>
  <c r="B218" i="78"/>
  <c r="B219" i="78"/>
  <c r="B220" i="78"/>
  <c r="B221" i="78"/>
  <c r="B222" i="78"/>
  <c r="B223" i="78"/>
  <c r="B224" i="78"/>
  <c r="B225" i="78"/>
  <c r="B226" i="78"/>
  <c r="B227" i="78"/>
  <c r="B228" i="78"/>
  <c r="B229" i="78"/>
  <c r="B230" i="78"/>
  <c r="B231" i="78"/>
  <c r="B232" i="78"/>
  <c r="B233" i="78"/>
  <c r="B234" i="78"/>
  <c r="B235" i="78"/>
  <c r="B236" i="78"/>
  <c r="B237" i="78"/>
  <c r="B238" i="78"/>
  <c r="B239" i="78"/>
  <c r="B240" i="78"/>
  <c r="B241" i="78"/>
  <c r="B242" i="78"/>
  <c r="B243" i="78"/>
  <c r="B244" i="78"/>
  <c r="B245" i="78"/>
  <c r="B246" i="78"/>
  <c r="B247" i="78"/>
  <c r="B248" i="78"/>
  <c r="B249" i="78"/>
  <c r="B250" i="78"/>
  <c r="B251" i="78"/>
  <c r="B252" i="78"/>
  <c r="B253" i="78"/>
  <c r="B254" i="78"/>
  <c r="B255" i="78"/>
  <c r="B256" i="78"/>
  <c r="B257" i="78"/>
  <c r="B258" i="78"/>
  <c r="B259" i="78"/>
  <c r="B260" i="78"/>
  <c r="B261" i="78"/>
  <c r="B262" i="78"/>
  <c r="B263" i="78"/>
  <c r="B264" i="78"/>
  <c r="B265" i="78"/>
  <c r="B266" i="78"/>
  <c r="B267" i="78"/>
  <c r="B268" i="78"/>
  <c r="B269" i="78"/>
  <c r="B270" i="78"/>
  <c r="B271" i="78"/>
  <c r="B272" i="78"/>
  <c r="B273" i="78"/>
  <c r="B274" i="78"/>
  <c r="B275" i="78"/>
  <c r="B276" i="78"/>
  <c r="B277" i="78"/>
  <c r="B278" i="78"/>
  <c r="B279" i="78"/>
  <c r="B280" i="78"/>
  <c r="B281" i="78"/>
  <c r="B282" i="78"/>
  <c r="B283" i="78"/>
  <c r="B284" i="78"/>
  <c r="B285" i="78"/>
  <c r="B286" i="78"/>
  <c r="B287" i="78"/>
  <c r="B288" i="78"/>
  <c r="B289" i="78"/>
  <c r="B290" i="78"/>
  <c r="B291" i="78"/>
  <c r="B292" i="78"/>
  <c r="B293" i="78"/>
  <c r="B294" i="78"/>
  <c r="B295" i="78"/>
  <c r="B296" i="78"/>
  <c r="B297" i="78"/>
  <c r="B298" i="78"/>
  <c r="B299" i="78"/>
  <c r="B300" i="78"/>
  <c r="B301" i="78"/>
  <c r="B302" i="78"/>
  <c r="B303" i="78"/>
  <c r="B304" i="78"/>
  <c r="B305" i="78"/>
  <c r="B306" i="78"/>
  <c r="B307" i="78"/>
  <c r="B308" i="78"/>
  <c r="B309" i="78"/>
  <c r="B310" i="78"/>
  <c r="B311" i="78"/>
  <c r="B312" i="78"/>
  <c r="B313" i="78"/>
  <c r="B314" i="78"/>
  <c r="B315" i="78"/>
  <c r="B316" i="78"/>
  <c r="B317" i="78"/>
  <c r="B318" i="78"/>
  <c r="B319" i="78"/>
  <c r="B320" i="78"/>
  <c r="B321" i="78"/>
  <c r="B322" i="78"/>
  <c r="B323" i="78"/>
  <c r="B324" i="78"/>
  <c r="B325" i="78"/>
  <c r="B326" i="78"/>
  <c r="B327" i="78"/>
  <c r="B328" i="78"/>
  <c r="B329" i="78"/>
  <c r="B330" i="78"/>
  <c r="B331" i="78"/>
  <c r="B332" i="78"/>
  <c r="B333" i="78"/>
  <c r="B334" i="78"/>
  <c r="B335" i="78"/>
  <c r="B336" i="78"/>
  <c r="B337" i="78"/>
  <c r="B338" i="78"/>
  <c r="B339" i="78"/>
  <c r="B340" i="78"/>
  <c r="B341" i="78"/>
  <c r="B342" i="78"/>
  <c r="B343" i="78"/>
  <c r="B344" i="78"/>
  <c r="B345" i="78"/>
  <c r="B346" i="78"/>
  <c r="B347" i="78"/>
  <c r="B348" i="78"/>
  <c r="B349" i="78"/>
  <c r="B350" i="78"/>
  <c r="B351" i="78"/>
  <c r="B352" i="78"/>
  <c r="B353" i="78"/>
  <c r="B354" i="78"/>
  <c r="B355" i="78"/>
  <c r="B356" i="78"/>
  <c r="B357" i="78"/>
  <c r="B358" i="78"/>
  <c r="B359" i="78"/>
  <c r="B360" i="78"/>
  <c r="B361" i="78"/>
  <c r="B25" i="78"/>
  <c r="B24" i="78"/>
  <c r="Y6" i="1" l="1"/>
  <c r="F19" i="6"/>
  <c r="I13" i="3"/>
  <c r="F20" i="6" s="1"/>
  <c r="R524" i="78"/>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Q399" i="78"/>
  <c r="O399" i="78"/>
  <c r="M399" i="78"/>
  <c r="K399" i="78"/>
  <c r="I399" i="78"/>
  <c r="G399" i="78"/>
  <c r="E399" i="78"/>
  <c r="C399" i="78"/>
  <c r="R399" i="78" s="1"/>
  <c r="S399" i="78" s="1"/>
  <c r="Q398" i="78"/>
  <c r="O398" i="78"/>
  <c r="M398" i="78"/>
  <c r="K398" i="78"/>
  <c r="I398" i="78"/>
  <c r="G398" i="78"/>
  <c r="E398" i="78"/>
  <c r="C398" i="78"/>
  <c r="R398" i="78" s="1"/>
  <c r="S398" i="78" s="1"/>
  <c r="Q397" i="78"/>
  <c r="O397" i="78"/>
  <c r="M397" i="78"/>
  <c r="K397" i="78"/>
  <c r="I397" i="78"/>
  <c r="G397" i="78"/>
  <c r="E397" i="78"/>
  <c r="C397" i="78"/>
  <c r="R397" i="78" s="1"/>
  <c r="S397" i="78" s="1"/>
  <c r="Q396" i="78"/>
  <c r="O396" i="78"/>
  <c r="M396" i="78"/>
  <c r="K396" i="78"/>
  <c r="I396" i="78"/>
  <c r="G396" i="78"/>
  <c r="E396" i="78"/>
  <c r="C396" i="78"/>
  <c r="R396" i="78" s="1"/>
  <c r="S396" i="78" s="1"/>
  <c r="Q395" i="78"/>
  <c r="O395" i="78"/>
  <c r="M395" i="78"/>
  <c r="K395" i="78"/>
  <c r="I395" i="78"/>
  <c r="G395" i="78"/>
  <c r="E395" i="78"/>
  <c r="C395" i="78"/>
  <c r="R395" i="78" s="1"/>
  <c r="S395" i="78" s="1"/>
  <c r="Q394" i="78"/>
  <c r="O394" i="78"/>
  <c r="M394" i="78"/>
  <c r="K394" i="78"/>
  <c r="I394" i="78"/>
  <c r="G394" i="78"/>
  <c r="E394" i="78"/>
  <c r="C394" i="78"/>
  <c r="R394" i="78" s="1"/>
  <c r="S394" i="78" s="1"/>
  <c r="Q393" i="78"/>
  <c r="O393" i="78"/>
  <c r="M393" i="78"/>
  <c r="K393" i="78"/>
  <c r="I393" i="78"/>
  <c r="G393" i="78"/>
  <c r="E393" i="78"/>
  <c r="C393" i="78"/>
  <c r="R393" i="78" s="1"/>
  <c r="S393" i="78" s="1"/>
  <c r="Q392" i="78"/>
  <c r="O392" i="78"/>
  <c r="M392" i="78"/>
  <c r="K392" i="78"/>
  <c r="I392" i="78"/>
  <c r="G392" i="78"/>
  <c r="E392" i="78"/>
  <c r="C392" i="78"/>
  <c r="R392" i="78" s="1"/>
  <c r="S392" i="78" s="1"/>
  <c r="Q391" i="78"/>
  <c r="O391" i="78"/>
  <c r="M391" i="78"/>
  <c r="K391" i="78"/>
  <c r="I391" i="78"/>
  <c r="G391" i="78"/>
  <c r="E391" i="78"/>
  <c r="C391" i="78"/>
  <c r="R391" i="78" s="1"/>
  <c r="S391" i="78" s="1"/>
  <c r="Q390" i="78"/>
  <c r="O390" i="78"/>
  <c r="M390" i="78"/>
  <c r="K390" i="78"/>
  <c r="I390" i="78"/>
  <c r="G390" i="78"/>
  <c r="E390" i="78"/>
  <c r="C390" i="78"/>
  <c r="R390" i="78" s="1"/>
  <c r="S390" i="78" s="1"/>
  <c r="Q389" i="78"/>
  <c r="O389" i="78"/>
  <c r="M389" i="78"/>
  <c r="K389" i="78"/>
  <c r="I389" i="78"/>
  <c r="G389" i="78"/>
  <c r="E389" i="78"/>
  <c r="C389" i="78"/>
  <c r="R389" i="78" s="1"/>
  <c r="S389" i="78" s="1"/>
  <c r="Q388" i="78"/>
  <c r="O388" i="78"/>
  <c r="M388" i="78"/>
  <c r="K388" i="78"/>
  <c r="I388" i="78"/>
  <c r="G388" i="78"/>
  <c r="E388" i="78"/>
  <c r="C388" i="78"/>
  <c r="R388" i="78" s="1"/>
  <c r="S388" i="78" s="1"/>
  <c r="Q387" i="78"/>
  <c r="O387" i="78"/>
  <c r="M387" i="78"/>
  <c r="K387" i="78"/>
  <c r="I387" i="78"/>
  <c r="G387" i="78"/>
  <c r="E387" i="78"/>
  <c r="C387" i="78"/>
  <c r="R387" i="78" s="1"/>
  <c r="S387" i="78" s="1"/>
  <c r="Q386" i="78"/>
  <c r="O386" i="78"/>
  <c r="M386" i="78"/>
  <c r="K386" i="78"/>
  <c r="I386" i="78"/>
  <c r="G386" i="78"/>
  <c r="E386" i="78"/>
  <c r="C386" i="78"/>
  <c r="R386" i="78" s="1"/>
  <c r="S386" i="78" s="1"/>
  <c r="Q385" i="78"/>
  <c r="O385" i="78"/>
  <c r="M385" i="78"/>
  <c r="K385" i="78"/>
  <c r="I385" i="78"/>
  <c r="G385" i="78"/>
  <c r="E385" i="78"/>
  <c r="C385" i="78"/>
  <c r="R385" i="78" s="1"/>
  <c r="S385" i="78" s="1"/>
  <c r="Q384" i="78"/>
  <c r="O384" i="78"/>
  <c r="M384" i="78"/>
  <c r="K384" i="78"/>
  <c r="I384" i="78"/>
  <c r="G384" i="78"/>
  <c r="E384" i="78"/>
  <c r="C384" i="78"/>
  <c r="R384" i="78" s="1"/>
  <c r="S384" i="78" s="1"/>
  <c r="Q383" i="78"/>
  <c r="O383" i="78"/>
  <c r="M383" i="78"/>
  <c r="K383" i="78"/>
  <c r="I383" i="78"/>
  <c r="G383" i="78"/>
  <c r="E383" i="78"/>
  <c r="C383" i="78"/>
  <c r="R383" i="78" s="1"/>
  <c r="S383" i="78" s="1"/>
  <c r="Q382" i="78"/>
  <c r="O382" i="78"/>
  <c r="M382" i="78"/>
  <c r="K382" i="78"/>
  <c r="I382" i="78"/>
  <c r="G382" i="78"/>
  <c r="E382" i="78"/>
  <c r="C382" i="78"/>
  <c r="R382" i="78" s="1"/>
  <c r="S382" i="78" s="1"/>
  <c r="Q381" i="78"/>
  <c r="O381" i="78"/>
  <c r="M381" i="78"/>
  <c r="K381" i="78"/>
  <c r="I381" i="78"/>
  <c r="G381" i="78"/>
  <c r="E381" i="78"/>
  <c r="C381" i="78"/>
  <c r="R381" i="78" s="1"/>
  <c r="S381" i="78" s="1"/>
  <c r="Q380" i="78"/>
  <c r="O380" i="78"/>
  <c r="M380" i="78"/>
  <c r="K380" i="78"/>
  <c r="I380" i="78"/>
  <c r="G380" i="78"/>
  <c r="E380" i="78"/>
  <c r="C380" i="78"/>
  <c r="R380" i="78" s="1"/>
  <c r="S380" i="78" s="1"/>
  <c r="Q379" i="78"/>
  <c r="O379" i="78"/>
  <c r="M379" i="78"/>
  <c r="K379" i="78"/>
  <c r="I379" i="78"/>
  <c r="G379" i="78"/>
  <c r="E379" i="78"/>
  <c r="C379" i="78"/>
  <c r="R379" i="78" s="1"/>
  <c r="S379" i="78" s="1"/>
  <c r="Q378" i="78"/>
  <c r="O378" i="78"/>
  <c r="M378" i="78"/>
  <c r="K378" i="78"/>
  <c r="I378" i="78"/>
  <c r="G378" i="78"/>
  <c r="E378" i="78"/>
  <c r="C378" i="78"/>
  <c r="R378" i="78" s="1"/>
  <c r="S378" i="78" s="1"/>
  <c r="Q377" i="78"/>
  <c r="O377" i="78"/>
  <c r="M377" i="78"/>
  <c r="K377" i="78"/>
  <c r="I377" i="78"/>
  <c r="G377" i="78"/>
  <c r="E377" i="78"/>
  <c r="C377" i="78"/>
  <c r="R377" i="78" s="1"/>
  <c r="S377" i="78" s="1"/>
  <c r="Q376" i="78"/>
  <c r="O376" i="78"/>
  <c r="M376" i="78"/>
  <c r="K376" i="78"/>
  <c r="I376" i="78"/>
  <c r="G376" i="78"/>
  <c r="E376" i="78"/>
  <c r="C376" i="78"/>
  <c r="R376" i="78" s="1"/>
  <c r="S376" i="78" s="1"/>
  <c r="Q375" i="78"/>
  <c r="O375" i="78"/>
  <c r="M375" i="78"/>
  <c r="K375" i="78"/>
  <c r="I375" i="78"/>
  <c r="G375" i="78"/>
  <c r="E375" i="78"/>
  <c r="C375" i="78"/>
  <c r="R375" i="78" s="1"/>
  <c r="S375" i="78" s="1"/>
  <c r="Q374" i="78"/>
  <c r="O374" i="78"/>
  <c r="M374" i="78"/>
  <c r="K374" i="78"/>
  <c r="I374" i="78"/>
  <c r="G374" i="78"/>
  <c r="E374" i="78"/>
  <c r="C374" i="78"/>
  <c r="R374" i="78" s="1"/>
  <c r="S374" i="78" s="1"/>
  <c r="Q373" i="78"/>
  <c r="O373" i="78"/>
  <c r="M373" i="78"/>
  <c r="K373" i="78"/>
  <c r="I373" i="78"/>
  <c r="G373" i="78"/>
  <c r="E373" i="78"/>
  <c r="C373" i="78"/>
  <c r="R373" i="78" s="1"/>
  <c r="S373" i="78" s="1"/>
  <c r="Q372" i="78"/>
  <c r="O372" i="78"/>
  <c r="M372" i="78"/>
  <c r="K372" i="78"/>
  <c r="I372" i="78"/>
  <c r="G372" i="78"/>
  <c r="E372" i="78"/>
  <c r="C372" i="78"/>
  <c r="R372" i="78" s="1"/>
  <c r="S372" i="78" s="1"/>
  <c r="Q371" i="78"/>
  <c r="O371" i="78"/>
  <c r="M371" i="78"/>
  <c r="K371" i="78"/>
  <c r="I371" i="78"/>
  <c r="G371" i="78"/>
  <c r="E371" i="78"/>
  <c r="C371" i="78"/>
  <c r="R371" i="78" s="1"/>
  <c r="S371" i="78" s="1"/>
  <c r="Q370" i="78"/>
  <c r="O370" i="78"/>
  <c r="M370" i="78"/>
  <c r="K370" i="78"/>
  <c r="I370" i="78"/>
  <c r="G370" i="78"/>
  <c r="E370" i="78"/>
  <c r="C370" i="78"/>
  <c r="R370" i="78" s="1"/>
  <c r="S370" i="78" s="1"/>
  <c r="Q369" i="78"/>
  <c r="O369" i="78"/>
  <c r="M369" i="78"/>
  <c r="K369" i="78"/>
  <c r="I369" i="78"/>
  <c r="G369" i="78"/>
  <c r="E369" i="78"/>
  <c r="C369" i="78"/>
  <c r="R369" i="78" s="1"/>
  <c r="S369" i="78" s="1"/>
  <c r="Q368" i="78"/>
  <c r="O368" i="78"/>
  <c r="M368" i="78"/>
  <c r="K368" i="78"/>
  <c r="I368" i="78"/>
  <c r="G368" i="78"/>
  <c r="E368" i="78"/>
  <c r="C368" i="78"/>
  <c r="R368" i="78" s="1"/>
  <c r="S368" i="78" s="1"/>
  <c r="Q367" i="78"/>
  <c r="O367" i="78"/>
  <c r="M367" i="78"/>
  <c r="K367" i="78"/>
  <c r="I367" i="78"/>
  <c r="G367" i="78"/>
  <c r="E367" i="78"/>
  <c r="C367" i="78"/>
  <c r="R367" i="78" s="1"/>
  <c r="S367" i="78" s="1"/>
  <c r="Q366" i="78"/>
  <c r="O366" i="78"/>
  <c r="M366" i="78"/>
  <c r="K366" i="78"/>
  <c r="I366" i="78"/>
  <c r="G366" i="78"/>
  <c r="E366" i="78"/>
  <c r="C366" i="78"/>
  <c r="R366" i="78" s="1"/>
  <c r="S366" i="78" s="1"/>
  <c r="Q365" i="78"/>
  <c r="O365" i="78"/>
  <c r="M365" i="78"/>
  <c r="K365" i="78"/>
  <c r="I365" i="78"/>
  <c r="G365" i="78"/>
  <c r="E365" i="78"/>
  <c r="C365" i="78"/>
  <c r="R365" i="78" s="1"/>
  <c r="S365" i="78" s="1"/>
  <c r="Q364" i="78"/>
  <c r="O364" i="78"/>
  <c r="M364" i="78"/>
  <c r="K364" i="78"/>
  <c r="I364" i="78"/>
  <c r="G364" i="78"/>
  <c r="E364" i="78"/>
  <c r="C364" i="78"/>
  <c r="R364" i="78" s="1"/>
  <c r="S364" i="78" s="1"/>
  <c r="Q363" i="78"/>
  <c r="O363" i="78"/>
  <c r="M363" i="78"/>
  <c r="K363" i="78"/>
  <c r="I363" i="78"/>
  <c r="G363" i="78"/>
  <c r="E363" i="78"/>
  <c r="C363" i="78"/>
  <c r="R363" i="78" s="1"/>
  <c r="S363" i="78" s="1"/>
  <c r="Q362" i="78"/>
  <c r="O362" i="78"/>
  <c r="M362" i="78"/>
  <c r="K362" i="78"/>
  <c r="I362" i="78"/>
  <c r="G362" i="78"/>
  <c r="E362" i="78"/>
  <c r="C362" i="78"/>
  <c r="R362" i="78" s="1"/>
  <c r="S362" i="78" s="1"/>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C419" i="77"/>
  <c r="F20" i="78"/>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95"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5"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s="1"/>
  <c r="Q13" i="33"/>
  <c r="Z13" i="33" s="1"/>
  <c r="Q12" i="33"/>
  <c r="Z12" i="33" s="1"/>
  <c r="H12" i="33"/>
  <c r="U12" i="33" s="1"/>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AR13" i="1" s="1"/>
  <c r="R13" i="1"/>
  <c r="S11" i="1"/>
  <c r="R11" i="1"/>
  <c r="S9" i="1"/>
  <c r="R9" i="1"/>
  <c r="J51" i="67"/>
  <c r="C42" i="1"/>
  <c r="C31" i="12" s="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56" i="40" s="1"/>
  <c r="BL17" i="3"/>
  <c r="AZ17" i="3"/>
  <c r="BL13" i="3"/>
  <c r="E65" i="39"/>
  <c r="G30" i="6"/>
  <c r="G31" i="6" s="1"/>
  <c r="J56" i="9"/>
  <c r="J57" i="9"/>
  <c r="A24" i="51"/>
  <c r="B18" i="72"/>
  <c r="U29" i="34"/>
  <c r="E14" i="6"/>
  <c r="E59" i="40" s="1"/>
  <c r="E5" i="6"/>
  <c r="P10" i="1"/>
  <c r="E32" i="6"/>
  <c r="L19" i="6"/>
  <c r="G1" i="68"/>
  <c r="K1" i="12"/>
  <c r="F30" i="6"/>
  <c r="E28" i="6"/>
  <c r="K14" i="1" s="1"/>
  <c r="M14" i="1" s="1"/>
  <c r="O14" i="1" s="1"/>
  <c r="E57"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E63" i="40" s="1"/>
  <c r="M47" i="9"/>
  <c r="G19" i="43"/>
  <c r="M20" i="43" s="1"/>
  <c r="C19" i="43" s="1"/>
  <c r="T35" i="4"/>
  <c r="A19" i="51"/>
  <c r="B14" i="72"/>
  <c r="C46" i="36"/>
  <c r="D46" i="36"/>
  <c r="E46" i="36" s="1"/>
  <c r="C59" i="34"/>
  <c r="D59" i="34" s="1"/>
  <c r="C52" i="37"/>
  <c r="A4" i="51"/>
  <c r="B6" i="72"/>
  <c r="C48" i="35"/>
  <c r="C58" i="21"/>
  <c r="D58" i="21" s="1"/>
  <c r="E58" i="21" s="1"/>
  <c r="C4" i="12"/>
  <c r="H62" i="43"/>
  <c r="H66" i="43"/>
  <c r="H61" i="43"/>
  <c r="H65" i="43"/>
  <c r="H60" i="43"/>
  <c r="H64" i="43"/>
  <c r="H59" i="43"/>
  <c r="H63" i="43"/>
  <c r="H67" i="43"/>
  <c r="H55" i="43"/>
  <c r="H51" i="43"/>
  <c r="H56" i="43"/>
  <c r="H76" i="43"/>
  <c r="H72" i="43"/>
  <c r="H77" i="43"/>
  <c r="L20" i="6"/>
  <c r="E62" i="39"/>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D22" i="15"/>
  <c r="E4" i="4"/>
  <c r="B5" i="62" s="1"/>
  <c r="B73" i="72" s="1"/>
  <c r="E21" i="49"/>
  <c r="C4" i="4"/>
  <c r="K4" i="4" s="1"/>
  <c r="B46" i="48" s="1"/>
  <c r="B4" i="72" s="1"/>
  <c r="AQ13" i="1"/>
  <c r="AZ13" i="3"/>
  <c r="M6" i="1"/>
  <c r="O6" i="1" s="1"/>
  <c r="P6" i="1" s="1"/>
  <c r="F30" i="68"/>
  <c r="C30" i="68"/>
  <c r="F30" i="11"/>
  <c r="C48" i="11"/>
  <c r="F28" i="67"/>
  <c r="C28" i="67"/>
  <c r="F31" i="12"/>
  <c r="F52" i="9"/>
  <c r="M18" i="67"/>
  <c r="F32" i="67"/>
  <c r="F60" i="67" s="1"/>
  <c r="F30" i="69"/>
  <c r="C48" i="69" s="1"/>
  <c r="F32" i="15"/>
  <c r="F60" i="15" s="1"/>
  <c r="M18" i="15"/>
  <c r="F28" i="15"/>
  <c r="C28" i="15" s="1"/>
  <c r="E63" i="39"/>
  <c r="D9" i="69"/>
  <c r="C9" i="69" s="1"/>
  <c r="D68" i="39"/>
  <c r="D70" i="39"/>
  <c r="T9" i="1"/>
  <c r="C48"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549" i="3"/>
  <c r="E434" i="3"/>
  <c r="E453" i="3"/>
  <c r="E306" i="3"/>
  <c r="E368" i="3"/>
  <c r="E296" i="3"/>
  <c r="E244"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F58" i="21"/>
  <c r="C65" i="40"/>
  <c r="L27" i="6"/>
  <c r="AP7" i="1"/>
  <c r="AB45" i="21"/>
  <c r="AC33" i="21"/>
  <c r="W33" i="21"/>
  <c r="S33" i="21"/>
  <c r="AA33" i="21"/>
  <c r="W32" i="21"/>
  <c r="AC32" i="21"/>
  <c r="AB9" i="21"/>
  <c r="U9" i="21"/>
  <c r="AA32" i="21"/>
  <c r="S32" i="21"/>
  <c r="W9" i="21"/>
  <c r="AC9" i="21"/>
  <c r="AB32" i="21"/>
  <c r="U32" i="21"/>
  <c r="AA10" i="21"/>
  <c r="S10" i="21"/>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7" i="33"/>
  <c r="AC27" i="33"/>
  <c r="W25" i="33"/>
  <c r="AC25" i="33"/>
  <c r="AA23" i="33"/>
  <c r="S23" i="33"/>
  <c r="AB19" i="33"/>
  <c r="U19" i="33"/>
  <c r="AA17" i="33"/>
  <c r="S17" i="33"/>
  <c r="U17" i="33"/>
  <c r="AB17" i="33"/>
  <c r="U23" i="21"/>
  <c r="AB23" i="21"/>
  <c r="AC23" i="21"/>
  <c r="W23" i="21"/>
  <c r="G58" i="21"/>
  <c r="D65" i="40"/>
  <c r="E68" i="39"/>
  <c r="F68" i="39"/>
  <c r="G68" i="39" s="1"/>
  <c r="H68" i="39" s="1"/>
  <c r="F1" i="67"/>
  <c r="Q52" i="67"/>
  <c r="AC11" i="37"/>
  <c r="W11" i="37"/>
  <c r="W11" i="34"/>
  <c r="AC11" i="34"/>
  <c r="F34" i="11"/>
  <c r="F11" i="12"/>
  <c r="F34" i="68"/>
  <c r="C36" i="68" s="1"/>
  <c r="F63" i="40"/>
  <c r="E65" i="40"/>
  <c r="E70" i="39"/>
  <c r="C36" i="11"/>
  <c r="R8" i="1"/>
  <c r="G63" i="40"/>
  <c r="F65" i="40"/>
  <c r="G70" i="39"/>
  <c r="C23" i="12"/>
  <c r="H63" i="40"/>
  <c r="I63" i="40" s="1"/>
  <c r="G65" i="40"/>
  <c r="H65" i="4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U7" i="33"/>
  <c r="H112" i="9"/>
  <c r="D21" i="53"/>
  <c r="B39" i="72"/>
  <c r="H111" i="9"/>
  <c r="D126" i="9"/>
  <c r="D19" i="53"/>
  <c r="D59" i="9"/>
  <c r="M55" i="9"/>
  <c r="B38" i="72"/>
  <c r="D20" i="53"/>
  <c r="B40" i="72"/>
  <c r="I14" i="74"/>
  <c r="B8" i="74"/>
  <c r="D127" i="9"/>
  <c r="D13" i="52"/>
  <c r="D12" i="52"/>
  <c r="AD3" i="71"/>
  <c r="P21" i="43"/>
  <c r="P22" i="43"/>
  <c r="P23" i="43"/>
  <c r="B71" i="39"/>
  <c r="P24" i="43"/>
  <c r="B66" i="40"/>
  <c r="P25" i="43"/>
  <c r="E9" i="76"/>
  <c r="B11" i="76"/>
  <c r="D5" i="73"/>
  <c r="AO11" i="1"/>
  <c r="F6" i="67"/>
  <c r="F42" i="15"/>
  <c r="M9" i="67"/>
  <c r="F16" i="67"/>
  <c r="F13" i="15"/>
  <c r="F43" i="15"/>
  <c r="E8" i="76"/>
  <c r="B10" i="76"/>
  <c r="D6" i="73"/>
  <c r="AO13" i="1"/>
  <c r="M6" i="15"/>
  <c r="F13" i="67"/>
  <c r="F37" i="15"/>
  <c r="F40" i="15"/>
  <c r="F38" i="67"/>
  <c r="M26" i="15"/>
  <c r="AO7" i="1"/>
  <c r="F35" i="67"/>
  <c r="E2" i="69"/>
  <c r="E11" i="76"/>
  <c r="B13" i="76"/>
  <c r="F6" i="73"/>
  <c r="AO10" i="1"/>
  <c r="M23" i="15"/>
  <c r="F9" i="15"/>
  <c r="F43" i="67"/>
  <c r="M8" i="15"/>
  <c r="L48" i="15"/>
  <c r="M29" i="67"/>
  <c r="E10" i="76"/>
  <c r="B9" i="76"/>
  <c r="F3" i="73"/>
  <c r="AO12" i="1"/>
  <c r="M22" i="15"/>
  <c r="M28" i="15"/>
  <c r="F36" i="15"/>
  <c r="F8" i="15"/>
  <c r="F16" i="15"/>
  <c r="F9" i="67"/>
  <c r="D2" i="36"/>
  <c r="D34" i="9"/>
  <c r="D2" i="37"/>
  <c r="M27" i="15"/>
  <c r="M21" i="67"/>
  <c r="AO8" i="1"/>
  <c r="E13" i="76"/>
  <c r="B7" i="76"/>
  <c r="F4" i="73"/>
  <c r="M24" i="15"/>
  <c r="F8" i="67"/>
  <c r="F7" i="67"/>
  <c r="F31" i="67" s="1"/>
  <c r="M6" i="67"/>
  <c r="C76" i="15"/>
  <c r="F37" i="67"/>
  <c r="M8" i="67"/>
  <c r="E12" i="76"/>
  <c r="F5" i="73"/>
  <c r="D4" i="73"/>
  <c r="C76" i="67"/>
  <c r="M26" i="67"/>
  <c r="F6" i="15"/>
  <c r="L47" i="15"/>
  <c r="L47" i="67"/>
  <c r="F40" i="67"/>
  <c r="M29" i="15"/>
  <c r="F20" i="31"/>
  <c r="D2" i="34"/>
  <c r="E7" i="76"/>
  <c r="B8" i="76"/>
  <c r="F7" i="73"/>
  <c r="D7" i="73"/>
  <c r="F7" i="15"/>
  <c r="F38" i="15"/>
  <c r="J15" i="15"/>
  <c r="M9" i="15"/>
  <c r="M22" i="67"/>
  <c r="F36" i="67"/>
  <c r="F42" i="67"/>
  <c r="B12" i="76"/>
  <c r="D3" i="73"/>
  <c r="AO9" i="1"/>
  <c r="M24" i="67"/>
  <c r="F26" i="67"/>
  <c r="L48" i="67"/>
  <c r="J15" i="67"/>
  <c r="F26" i="15"/>
  <c r="M28" i="67"/>
  <c r="M23" i="67"/>
  <c r="F41" i="67"/>
  <c r="D2" i="33"/>
  <c r="M27" i="67"/>
  <c r="D2" i="35"/>
  <c r="D2" i="21"/>
  <c r="E2" i="68"/>
  <c r="D35" i="9"/>
  <c r="E4" i="49" l="1"/>
  <c r="B6" i="49"/>
  <c r="B13" i="49"/>
  <c r="E6" i="49"/>
  <c r="E9" i="49"/>
  <c r="B11" i="49"/>
  <c r="E7" i="49"/>
  <c r="B16" i="49"/>
  <c r="E402" i="3"/>
  <c r="E423" i="3"/>
  <c r="E350" i="3"/>
  <c r="E382" i="3"/>
  <c r="E303" i="3"/>
  <c r="E263" i="3"/>
  <c r="E301"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AR9" i="1"/>
  <c r="AQ9" i="1"/>
  <c r="AZ5" i="3"/>
  <c r="E3" i="6" s="1"/>
  <c r="T13" i="1"/>
  <c r="T10" i="1"/>
  <c r="T12" i="1"/>
  <c r="E11" i="49"/>
  <c r="B8" i="49"/>
  <c r="B4" i="49"/>
  <c r="E5" i="49"/>
  <c r="E10" i="49"/>
  <c r="E8" i="49"/>
  <c r="E16" i="49"/>
  <c r="B9" i="49"/>
  <c r="B5" i="49"/>
  <c r="E22" i="49"/>
  <c r="B14" i="49"/>
  <c r="B7" i="49"/>
  <c r="B22" i="49"/>
  <c r="F22" i="43"/>
  <c r="K101" i="43"/>
  <c r="N101" i="43"/>
  <c r="G101" i="43"/>
  <c r="J101" i="43"/>
  <c r="H22" i="43"/>
  <c r="H101" i="43"/>
  <c r="G2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C23" i="43"/>
  <c r="C21" i="43" s="1"/>
  <c r="C29" i="43" s="1"/>
  <c r="S3" i="43"/>
  <c r="J22" i="43"/>
  <c r="D3" i="21"/>
  <c r="D19" i="11"/>
  <c r="C19" i="11" s="1"/>
  <c r="C20" i="11" s="1"/>
  <c r="D3" i="37"/>
  <c r="D3" i="34"/>
  <c r="L18" i="9"/>
  <c r="C36" i="69"/>
  <c r="T48" i="33"/>
  <c r="G48" i="33" s="1"/>
  <c r="AA7" i="33"/>
  <c r="R48" i="33" s="1"/>
  <c r="P61" i="15"/>
  <c r="J53" i="15"/>
  <c r="Q52" i="15" s="1"/>
  <c r="C94" i="9"/>
  <c r="C92" i="9"/>
  <c r="C13" i="12"/>
  <c r="C24" i="12"/>
  <c r="C30" i="69"/>
  <c r="C77" i="9"/>
  <c r="C74" i="9" s="1"/>
  <c r="C40" i="68"/>
  <c r="C40" i="69"/>
  <c r="D22" i="67"/>
  <c r="C34" i="69"/>
  <c r="C35" i="69" s="1"/>
  <c r="H105" i="43"/>
  <c r="E30" i="6"/>
  <c r="K15" i="1"/>
  <c r="K16" i="1" s="1"/>
  <c r="M18" i="9"/>
  <c r="B118" i="9" s="1"/>
  <c r="B1" i="74" s="1"/>
  <c r="C7" i="74" s="1"/>
  <c r="D14" i="12"/>
  <c r="D17" i="12" s="1"/>
  <c r="C17" i="12" s="1"/>
  <c r="D37" i="11"/>
  <c r="C37" i="11" s="1"/>
  <c r="C17" i="4"/>
  <c r="B4" i="52" s="1"/>
  <c r="B43" i="72" s="1"/>
  <c r="E6" i="6"/>
  <c r="D20" i="12" s="1"/>
  <c r="C20" i="12" s="1"/>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F27" i="6"/>
  <c r="F31" i="6" s="1"/>
  <c r="E51" i="40"/>
  <c r="E56" i="39"/>
  <c r="E16" i="6"/>
  <c r="D10" i="11"/>
  <c r="C10" i="11" s="1"/>
  <c r="AR8" i="1"/>
  <c r="T8" i="1"/>
  <c r="L109" i="43"/>
  <c r="L106" i="43"/>
  <c r="L107" i="43"/>
  <c r="L103" i="43"/>
  <c r="E64" i="39"/>
  <c r="AQ11" i="1"/>
  <c r="T11" i="1"/>
  <c r="AR11" i="1"/>
  <c r="P12" i="1"/>
  <c r="O9" i="1"/>
  <c r="P9" i="1" s="1"/>
  <c r="AQ8" i="1"/>
  <c r="P14" i="1"/>
  <c r="G16" i="1"/>
  <c r="H10" i="40" s="1"/>
  <c r="M7" i="1"/>
  <c r="Q16" i="1"/>
  <c r="H16" i="1"/>
  <c r="P11" i="1"/>
  <c r="H102" i="43"/>
  <c r="H103" i="43"/>
  <c r="H104" i="43"/>
  <c r="H109" i="43"/>
  <c r="D9" i="11"/>
  <c r="C9" i="11" s="1"/>
  <c r="D19" i="12"/>
  <c r="C19" i="12" s="1"/>
  <c r="D9" i="68"/>
  <c r="C9" i="68" s="1"/>
  <c r="E61" i="39"/>
  <c r="O8" i="1"/>
  <c r="P8" i="1" s="1"/>
  <c r="AA44" i="33"/>
  <c r="W12" i="33"/>
  <c r="AC12" i="33"/>
  <c r="C8" i="74"/>
  <c r="T11" i="43"/>
  <c r="V11" i="43" s="1"/>
  <c r="T9" i="43"/>
  <c r="V9" i="43" s="1"/>
  <c r="T8" i="43"/>
  <c r="V8" i="43" s="1"/>
  <c r="T5" i="43"/>
  <c r="V5" i="43" s="1"/>
  <c r="T14" i="43"/>
  <c r="V14" i="43" s="1"/>
  <c r="T7" i="43"/>
  <c r="V7" i="43" s="1"/>
  <c r="T13" i="43"/>
  <c r="V13" i="43" s="1"/>
  <c r="T4" i="43"/>
  <c r="V4" i="43" s="1"/>
  <c r="B4" i="62"/>
  <c r="B71" i="72" s="1"/>
  <c r="T16" i="43"/>
  <c r="V16" i="43" s="1"/>
  <c r="E48" i="33"/>
  <c r="I68" i="39"/>
  <c r="H70" i="39"/>
  <c r="G52" i="33"/>
  <c r="H52" i="33" s="1"/>
  <c r="I65" i="40"/>
  <c r="J63" i="40"/>
  <c r="AC7" i="33"/>
  <c r="V48" i="33" s="1"/>
  <c r="I48" i="33" s="1"/>
  <c r="G53" i="33" s="1"/>
  <c r="H53" i="33" s="1"/>
  <c r="F70" i="39"/>
  <c r="H58" i="21"/>
  <c r="D48" i="35"/>
  <c r="E59" i="34"/>
  <c r="T6" i="43"/>
  <c r="V6" i="43" s="1"/>
  <c r="T10" i="43"/>
  <c r="V10" i="43" s="1"/>
  <c r="T15" i="43"/>
  <c r="V15" i="43" s="1"/>
  <c r="T3" i="43"/>
  <c r="V3" i="43" s="1"/>
  <c r="T12" i="43"/>
  <c r="V12" i="43" s="1"/>
  <c r="D52" i="37"/>
  <c r="F46" i="36"/>
  <c r="C33" i="43"/>
  <c r="C39" i="43"/>
  <c r="C38" i="43"/>
  <c r="C37" i="43"/>
  <c r="C36" i="43"/>
  <c r="C35" i="43"/>
  <c r="C34" i="43"/>
  <c r="B8" i="70"/>
  <c r="F63" i="67"/>
  <c r="C62" i="67" s="1"/>
  <c r="C34" i="67"/>
  <c r="B7" i="70"/>
  <c r="F69" i="67"/>
  <c r="J20" i="67"/>
  <c r="F68" i="67"/>
  <c r="F66" i="67"/>
  <c r="C27" i="15"/>
  <c r="N59" i="67"/>
  <c r="M59" i="67"/>
  <c r="L58" i="67"/>
  <c r="L59" i="67"/>
  <c r="F51" i="15"/>
  <c r="F68" i="15"/>
  <c r="L58" i="15"/>
  <c r="L59" i="15"/>
  <c r="M59" i="15"/>
  <c r="N59" i="15"/>
  <c r="F64" i="15"/>
  <c r="F65" i="15"/>
  <c r="I54" i="67"/>
  <c r="J57" i="67"/>
  <c r="J55" i="67" s="1"/>
  <c r="J58" i="67" s="1"/>
  <c r="Q50" i="67" s="1"/>
  <c r="L56" i="67"/>
  <c r="C6" i="15"/>
  <c r="C27" i="67"/>
  <c r="Q71" i="67"/>
  <c r="B12" i="70"/>
  <c r="B13" i="70"/>
  <c r="B9"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F31" i="15"/>
  <c r="C17" i="67"/>
  <c r="C16" i="15"/>
  <c r="M17" i="67"/>
  <c r="M17" i="15"/>
  <c r="C16" i="67"/>
  <c r="C14" i="67"/>
  <c r="G1" i="73"/>
  <c r="F59" i="67"/>
  <c r="F59" i="15"/>
  <c r="E66" i="39" l="1"/>
  <c r="I109" i="43"/>
  <c r="I102" i="43"/>
  <c r="I106" i="43"/>
  <c r="I103" i="43"/>
  <c r="I104" i="43"/>
  <c r="I107" i="43"/>
  <c r="I105" i="43"/>
  <c r="D109" i="43"/>
  <c r="D103" i="43"/>
  <c r="D104" i="43"/>
  <c r="D107" i="43"/>
  <c r="D105" i="43"/>
  <c r="D106" i="43"/>
  <c r="D102" i="43"/>
  <c r="H6" i="3"/>
  <c r="E102" i="43"/>
  <c r="E106" i="43"/>
  <c r="E103" i="43"/>
  <c r="E104" i="43"/>
  <c r="E107" i="43"/>
  <c r="E105" i="43"/>
  <c r="E109" i="43"/>
  <c r="M109" i="43"/>
  <c r="M102" i="43"/>
  <c r="M106" i="43"/>
  <c r="M103" i="43"/>
  <c r="M104" i="43"/>
  <c r="M107" i="43"/>
  <c r="M105" i="43"/>
  <c r="L102" i="43"/>
  <c r="L104" i="43"/>
  <c r="L105" i="43"/>
  <c r="C104" i="43"/>
  <c r="C107" i="43"/>
  <c r="C103" i="43"/>
  <c r="C102" i="43"/>
  <c r="C106" i="43"/>
  <c r="C105" i="43"/>
  <c r="C109" i="43"/>
  <c r="F104" i="43"/>
  <c r="F102" i="43"/>
  <c r="F103" i="43"/>
  <c r="F109" i="43"/>
  <c r="F107" i="43"/>
  <c r="F106" i="43"/>
  <c r="F105" i="43"/>
  <c r="D22" i="43"/>
  <c r="G105" i="43"/>
  <c r="G102" i="43"/>
  <c r="G107" i="43"/>
  <c r="G104" i="43"/>
  <c r="G103" i="43"/>
  <c r="G106" i="43"/>
  <c r="G109" i="43"/>
  <c r="K103" i="43"/>
  <c r="K102" i="43"/>
  <c r="K106" i="43"/>
  <c r="K109" i="43"/>
  <c r="K107" i="43"/>
  <c r="K104" i="43"/>
  <c r="K105" i="43"/>
  <c r="B115" i="43"/>
  <c r="D117" i="43"/>
  <c r="E117" i="43" s="1"/>
  <c r="F117" i="43" s="1"/>
  <c r="G117" i="43" s="1"/>
  <c r="H117"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H107" i="43"/>
  <c r="H106" i="43"/>
  <c r="J104" i="43"/>
  <c r="J105" i="43"/>
  <c r="J107" i="43"/>
  <c r="J102" i="43"/>
  <c r="J106" i="43"/>
  <c r="J109" i="43"/>
  <c r="J103" i="43"/>
  <c r="N102" i="43"/>
  <c r="N105" i="43"/>
  <c r="N107" i="43"/>
  <c r="N109" i="43"/>
  <c r="N103" i="43"/>
  <c r="N106" i="43"/>
  <c r="N104" i="43"/>
  <c r="C38" i="69"/>
  <c r="R49" i="33"/>
  <c r="F1" i="15"/>
  <c r="F10" i="39"/>
  <c r="E27" i="6"/>
  <c r="C14" i="12"/>
  <c r="C18" i="12"/>
  <c r="D10" i="68"/>
  <c r="D10" i="69"/>
  <c r="AC6" i="3"/>
  <c r="E6" i="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O7" i="1"/>
  <c r="O16" i="1" s="1"/>
  <c r="M16" i="1"/>
  <c r="F27" i="68"/>
  <c r="F28" i="12"/>
  <c r="C29" i="12" s="1"/>
  <c r="D28" i="12" s="1"/>
  <c r="F27" i="69"/>
  <c r="F27" i="11"/>
  <c r="J10" i="40"/>
  <c r="F10" i="40"/>
  <c r="J10" i="39"/>
  <c r="H10" i="39"/>
  <c r="C30" i="43"/>
  <c r="E30" i="43" s="1"/>
  <c r="E29" i="43"/>
  <c r="G35" i="43"/>
  <c r="I35" i="43" s="1"/>
  <c r="E35" i="43"/>
  <c r="G37" i="43"/>
  <c r="I37" i="43" s="1"/>
  <c r="E37" i="43"/>
  <c r="G39" i="43"/>
  <c r="I39" i="43" s="1"/>
  <c r="E39" i="43"/>
  <c r="G46" i="36"/>
  <c r="AA10" i="39"/>
  <c r="S10" i="39"/>
  <c r="F59" i="34"/>
  <c r="I52" i="33"/>
  <c r="J52" i="33" s="1"/>
  <c r="I53" i="33"/>
  <c r="J53" i="33" s="1"/>
  <c r="J68" i="39"/>
  <c r="I70" i="39"/>
  <c r="C48" i="33"/>
  <c r="C49" i="33"/>
  <c r="B2" i="33" s="1"/>
  <c r="G34" i="43"/>
  <c r="I34" i="43" s="1"/>
  <c r="E34" i="43"/>
  <c r="G36" i="43"/>
  <c r="I36" i="43" s="1"/>
  <c r="E36" i="43"/>
  <c r="G38" i="43"/>
  <c r="I38" i="43" s="1"/>
  <c r="E38" i="43"/>
  <c r="G33" i="43"/>
  <c r="I33" i="43" s="1"/>
  <c r="E33" i="43"/>
  <c r="E52" i="37"/>
  <c r="AB10" i="40"/>
  <c r="U10" i="40"/>
  <c r="E48" i="35"/>
  <c r="I58" i="21"/>
  <c r="J58" i="21" s="1"/>
  <c r="K58" i="21" s="1"/>
  <c r="L58" i="21" s="1"/>
  <c r="M58" i="21" s="1"/>
  <c r="N58" i="21" s="1"/>
  <c r="O58" i="21" s="1"/>
  <c r="J7" i="21"/>
  <c r="H7" i="21"/>
  <c r="K63" i="40"/>
  <c r="J65" i="40"/>
  <c r="E53" i="33"/>
  <c r="F53" i="33" s="1"/>
  <c r="E52" i="33"/>
  <c r="F52" i="33" s="1"/>
  <c r="C18" i="67"/>
  <c r="C15" i="67"/>
  <c r="B40" i="1"/>
  <c r="F11" i="67"/>
  <c r="M11" i="15"/>
  <c r="M11" i="67"/>
  <c r="J10" i="67" s="1"/>
  <c r="J5" i="67" s="1"/>
  <c r="F11" i="15"/>
  <c r="P17" i="43"/>
  <c r="N17" i="43"/>
  <c r="M17" i="43"/>
  <c r="O17" i="43"/>
  <c r="Q73" i="15"/>
  <c r="Q60" i="15"/>
  <c r="C49" i="15"/>
  <c r="Q60" i="67"/>
  <c r="Q73" i="67"/>
  <c r="J6" i="15"/>
  <c r="Q61" i="15"/>
  <c r="Q74" i="15"/>
  <c r="Q74" i="67"/>
  <c r="Q61" i="67"/>
  <c r="AE6" i="1"/>
  <c r="C19" i="9"/>
  <c r="C115" i="43" l="1"/>
  <c r="D113" i="43"/>
  <c r="C102" i="9"/>
  <c r="B3" i="33"/>
  <c r="C10" i="68"/>
  <c r="D19" i="68"/>
  <c r="D19" i="69"/>
  <c r="C10" i="69"/>
  <c r="C8" i="69" s="1"/>
  <c r="C5" i="69" s="1"/>
  <c r="K23" i="6"/>
  <c r="M23" i="6" s="1"/>
  <c r="I23" i="6" s="1"/>
  <c r="S23" i="6" s="1"/>
  <c r="K22" i="6"/>
  <c r="M22" i="6" s="1"/>
  <c r="I22" i="6" s="1"/>
  <c r="S22" i="6" s="1"/>
  <c r="K19" i="6"/>
  <c r="S6" i="1" s="1"/>
  <c r="K25" i="6"/>
  <c r="M25" i="6" s="1"/>
  <c r="I25" i="6" s="1"/>
  <c r="S25" i="6" s="1"/>
  <c r="K26" i="6"/>
  <c r="M26" i="6" s="1"/>
  <c r="I26" i="6" s="1"/>
  <c r="S26" i="6" s="1"/>
  <c r="K24" i="6"/>
  <c r="M24" i="6" s="1"/>
  <c r="I24" i="6" s="1"/>
  <c r="S24" i="6" s="1"/>
  <c r="K20" i="6"/>
  <c r="K21" i="6"/>
  <c r="M21" i="6" s="1"/>
  <c r="I21" i="6" s="1"/>
  <c r="S21" i="6" s="1"/>
  <c r="E31" i="6"/>
  <c r="D19" i="6"/>
  <c r="D26" i="6"/>
  <c r="C18" i="4"/>
  <c r="D8" i="6"/>
  <c r="D23" i="6"/>
  <c r="D20" i="6"/>
  <c r="D12" i="6"/>
  <c r="D10" i="6"/>
  <c r="L19" i="9"/>
  <c r="D29" i="6"/>
  <c r="M19" i="9"/>
  <c r="C118" i="9" s="1"/>
  <c r="C14" i="74" s="1"/>
  <c r="B2" i="74" s="1"/>
  <c r="D25" i="6"/>
  <c r="D15" i="6"/>
  <c r="D22" i="6"/>
  <c r="D21" i="6"/>
  <c r="D24" i="6"/>
  <c r="D9" i="6"/>
  <c r="D13" i="6"/>
  <c r="D28" i="6"/>
  <c r="E61" i="40"/>
  <c r="H24" i="6"/>
  <c r="H22" i="6"/>
  <c r="R22" i="6" s="1"/>
  <c r="H25" i="6"/>
  <c r="H23" i="6"/>
  <c r="R23" i="6" s="1"/>
  <c r="D14" i="6"/>
  <c r="H21" i="6"/>
  <c r="D6" i="6"/>
  <c r="D5" i="6"/>
  <c r="D11" i="6"/>
  <c r="AB10" i="39"/>
  <c r="U10" i="39"/>
  <c r="S10" i="40"/>
  <c r="AA10" i="40"/>
  <c r="C47" i="11"/>
  <c r="D45" i="11" s="1"/>
  <c r="C29" i="11"/>
  <c r="D27" i="11" s="1"/>
  <c r="C28" i="11"/>
  <c r="C27" i="11" s="1"/>
  <c r="AC10" i="39"/>
  <c r="W10" i="39"/>
  <c r="W10" i="40"/>
  <c r="AC10" i="40"/>
  <c r="C29" i="69"/>
  <c r="D27" i="69" s="1"/>
  <c r="C47" i="69"/>
  <c r="D45" i="69" s="1"/>
  <c r="C29" i="68"/>
  <c r="D27" i="68" s="1"/>
  <c r="C47" i="68"/>
  <c r="D45" i="68" s="1"/>
  <c r="N16" i="1"/>
  <c r="L16" i="1"/>
  <c r="C34" i="11"/>
  <c r="C34" i="68"/>
  <c r="P7" i="1"/>
  <c r="P16" i="1" s="1"/>
  <c r="C11" i="12" s="1"/>
  <c r="C19" i="67"/>
  <c r="C20" i="67" s="1"/>
  <c r="K65" i="40"/>
  <c r="L63" i="40"/>
  <c r="AC7" i="21"/>
  <c r="V48" i="21" s="1"/>
  <c r="I48" i="21" s="1"/>
  <c r="W7" i="21"/>
  <c r="F52" i="37"/>
  <c r="G59" i="34"/>
  <c r="H46" i="36"/>
  <c r="C27" i="43"/>
  <c r="AB7" i="21"/>
  <c r="T48" i="21" s="1"/>
  <c r="G48" i="21" s="1"/>
  <c r="U7" i="21"/>
  <c r="F48" i="35"/>
  <c r="K68" i="39"/>
  <c r="J70" i="39"/>
  <c r="C26" i="43"/>
  <c r="F7" i="21"/>
  <c r="J24" i="67"/>
  <c r="J26" i="67"/>
  <c r="J29" i="67" s="1"/>
  <c r="J18" i="67"/>
  <c r="C53" i="15"/>
  <c r="C48" i="15" s="1"/>
  <c r="C10" i="15"/>
  <c r="C5" i="15" s="1"/>
  <c r="F24" i="15"/>
  <c r="C24" i="15" s="1"/>
  <c r="F22" i="11"/>
  <c r="F22" i="69"/>
  <c r="F24" i="67"/>
  <c r="C24" i="67" s="1"/>
  <c r="F25" i="12"/>
  <c r="F22" i="68"/>
  <c r="J10" i="15"/>
  <c r="J5" i="15" s="1"/>
  <c r="C53" i="67"/>
  <c r="C48" i="67" s="1"/>
  <c r="C10" i="67"/>
  <c r="C5" i="67" s="1"/>
  <c r="C20" i="9"/>
  <c r="C17" i="15"/>
  <c r="F41" i="15"/>
  <c r="E6" i="76"/>
  <c r="F69" i="15" l="1"/>
  <c r="R25" i="6"/>
  <c r="D30" i="6"/>
  <c r="E6" i="70"/>
  <c r="E2" i="70" s="1"/>
  <c r="C103" i="9"/>
  <c r="H26" i="6"/>
  <c r="M20" i="6"/>
  <c r="I20" i="6" s="1"/>
  <c r="S7" i="1"/>
  <c r="S16" i="1" s="1"/>
  <c r="AR6" i="1"/>
  <c r="AQ6" i="1"/>
  <c r="T6" i="1"/>
  <c r="R21" i="6"/>
  <c r="D27" i="6"/>
  <c r="D31" i="6" s="1"/>
  <c r="C19" i="68"/>
  <c r="C24" i="68" s="1"/>
  <c r="D37" i="68"/>
  <c r="C37" i="68" s="1"/>
  <c r="D16" i="6"/>
  <c r="M19" i="6"/>
  <c r="K27" i="6"/>
  <c r="D37" i="69"/>
  <c r="C37" i="69" s="1"/>
  <c r="C33" i="69" s="1"/>
  <c r="C42" i="69" s="1"/>
  <c r="C19" i="69"/>
  <c r="C20" i="69" s="1"/>
  <c r="C25" i="69" s="1"/>
  <c r="D8" i="74"/>
  <c r="D7" i="74"/>
  <c r="R26" i="6"/>
  <c r="R24" i="6"/>
  <c r="C21" i="9"/>
  <c r="A7" i="51"/>
  <c r="B7" i="72" s="1"/>
  <c r="C4" i="52"/>
  <c r="B45" i="72" s="1"/>
  <c r="A10" i="51"/>
  <c r="B9" i="72" s="1"/>
  <c r="C35" i="68"/>
  <c r="C38" i="68"/>
  <c r="C15" i="12"/>
  <c r="C12" i="12"/>
  <c r="C35" i="11"/>
  <c r="C38" i="11"/>
  <c r="F50" i="69"/>
  <c r="F50" i="11"/>
  <c r="F50" i="68"/>
  <c r="E2" i="76"/>
  <c r="S7" i="21"/>
  <c r="AA7" i="21"/>
  <c r="R48" i="21" s="1"/>
  <c r="K70" i="39"/>
  <c r="L68" i="39"/>
  <c r="G48" i="35"/>
  <c r="G52" i="21"/>
  <c r="H52" i="21" s="1"/>
  <c r="G53" i="21"/>
  <c r="H53" i="21" s="1"/>
  <c r="I46" i="36"/>
  <c r="M63" i="40"/>
  <c r="L65" i="40"/>
  <c r="B2" i="43"/>
  <c r="H59" i="34"/>
  <c r="G52" i="37"/>
  <c r="I52" i="21"/>
  <c r="J52" i="21" s="1"/>
  <c r="J24" i="15"/>
  <c r="J26" i="15"/>
  <c r="J29" i="15" s="1"/>
  <c r="J18" i="15"/>
  <c r="C32" i="67"/>
  <c r="C38" i="67"/>
  <c r="C60" i="15"/>
  <c r="C66" i="15"/>
  <c r="C23" i="68"/>
  <c r="C26" i="68"/>
  <c r="D22" i="68" s="1"/>
  <c r="C44" i="68"/>
  <c r="D41" i="68" s="1"/>
  <c r="C26" i="11"/>
  <c r="D22" i="11" s="1"/>
  <c r="C24" i="11"/>
  <c r="C25" i="11"/>
  <c r="C44" i="11"/>
  <c r="D41" i="11" s="1"/>
  <c r="C23" i="11"/>
  <c r="C32" i="15"/>
  <c r="C38" i="15"/>
  <c r="C26" i="67"/>
  <c r="C66" i="67"/>
  <c r="C60" i="67"/>
  <c r="C26" i="12"/>
  <c r="D25" i="12" s="1"/>
  <c r="C26" i="69"/>
  <c r="D22" i="69" s="1"/>
  <c r="C44" i="69"/>
  <c r="D41" i="69" s="1"/>
  <c r="C23" i="69"/>
  <c r="C23" i="67"/>
  <c r="C14" i="15"/>
  <c r="B6" i="76"/>
  <c r="C24" i="69" l="1"/>
  <c r="C22" i="69" s="1"/>
  <c r="C15" i="15"/>
  <c r="C18" i="15"/>
  <c r="C22" i="11"/>
  <c r="C31" i="11" s="1"/>
  <c r="C29" i="67"/>
  <c r="J19" i="67" s="1"/>
  <c r="J17" i="67" s="1"/>
  <c r="T7" i="1"/>
  <c r="T16" i="1" s="1"/>
  <c r="AQ7" i="1"/>
  <c r="AR7" i="1"/>
  <c r="C33" i="11"/>
  <c r="C42" i="11" s="1"/>
  <c r="S20" i="6"/>
  <c r="H20" i="6"/>
  <c r="R20" i="6" s="1"/>
  <c r="R7" i="1" s="1"/>
  <c r="C39" i="69"/>
  <c r="C43" i="69" s="1"/>
  <c r="C41" i="69" s="1"/>
  <c r="M27" i="6"/>
  <c r="I19" i="6"/>
  <c r="C20" i="68"/>
  <c r="C25" i="68" s="1"/>
  <c r="C22" i="68" s="1"/>
  <c r="C28" i="69"/>
  <c r="C27" i="69" s="1"/>
  <c r="C16" i="12"/>
  <c r="C21" i="12" s="1"/>
  <c r="C22" i="12" s="1"/>
  <c r="C30" i="12" s="1"/>
  <c r="C28" i="12" s="1"/>
  <c r="C33" i="68"/>
  <c r="I6" i="6"/>
  <c r="I5" i="6"/>
  <c r="C39" i="11"/>
  <c r="C43" i="11" s="1"/>
  <c r="C41" i="11" s="1"/>
  <c r="B2" i="76"/>
  <c r="B3" i="76" s="1"/>
  <c r="C33" i="15"/>
  <c r="I59" i="34"/>
  <c r="J46" i="36"/>
  <c r="H48" i="35"/>
  <c r="H52" i="37"/>
  <c r="B3" i="43"/>
  <c r="N63" i="40"/>
  <c r="M65" i="40"/>
  <c r="M68" i="39"/>
  <c r="L70" i="39"/>
  <c r="E48" i="21"/>
  <c r="R49" i="21"/>
  <c r="Q49" i="67" l="1"/>
  <c r="C13" i="67"/>
  <c r="C75" i="67" s="1"/>
  <c r="J59" i="67"/>
  <c r="J60" i="67" s="1"/>
  <c r="Q48" i="67" s="1"/>
  <c r="C33" i="67"/>
  <c r="C31" i="67" s="1"/>
  <c r="C31" i="69"/>
  <c r="J14" i="67"/>
  <c r="J22" i="67" s="1"/>
  <c r="C57" i="67"/>
  <c r="C61" i="67" s="1"/>
  <c r="C59" i="67" s="1"/>
  <c r="C36" i="67"/>
  <c r="C19" i="15"/>
  <c r="C28" i="68"/>
  <c r="C27" i="68" s="1"/>
  <c r="C31" i="68" s="1"/>
  <c r="C46" i="69"/>
  <c r="C45" i="69" s="1"/>
  <c r="C49" i="69" s="1"/>
  <c r="C51" i="69" s="1"/>
  <c r="C52" i="69" s="1"/>
  <c r="C46" i="11"/>
  <c r="C45" i="11" s="1"/>
  <c r="C49" i="11" s="1"/>
  <c r="C51" i="11" s="1"/>
  <c r="C52" i="11" s="1"/>
  <c r="B2" i="11" s="1"/>
  <c r="B3" i="11" s="1"/>
  <c r="C27" i="12"/>
  <c r="C25" i="12" s="1"/>
  <c r="C32" i="12" s="1"/>
  <c r="B2" i="12" s="1"/>
  <c r="B3" i="12" s="1"/>
  <c r="S19" i="6"/>
  <c r="S27" i="6" s="1"/>
  <c r="H19" i="6"/>
  <c r="I27" i="6"/>
  <c r="C39" i="68"/>
  <c r="C42" i="68"/>
  <c r="C48" i="21"/>
  <c r="C49" i="21"/>
  <c r="B2" i="21" s="1"/>
  <c r="B3" i="21" s="1"/>
  <c r="I48" i="35"/>
  <c r="J59" i="34"/>
  <c r="E52" i="21"/>
  <c r="F52" i="21" s="1"/>
  <c r="E53" i="21"/>
  <c r="F53" i="21" s="1"/>
  <c r="I53" i="21"/>
  <c r="J53" i="21" s="1"/>
  <c r="N68" i="39"/>
  <c r="M70" i="39"/>
  <c r="O63" i="40"/>
  <c r="O65" i="40" s="1"/>
  <c r="N65" i="40"/>
  <c r="I52" i="37"/>
  <c r="K46" i="36"/>
  <c r="Q70" i="67"/>
  <c r="C37" i="67"/>
  <c r="C64" i="67" l="1"/>
  <c r="L46" i="67"/>
  <c r="C56" i="67"/>
  <c r="C65" i="67" s="1"/>
  <c r="J13" i="67"/>
  <c r="J23" i="67" s="1"/>
  <c r="J16" i="67" s="1"/>
  <c r="J25" i="67" s="1"/>
  <c r="C30" i="67"/>
  <c r="C39" i="67" s="1"/>
  <c r="Q69" i="67" s="1"/>
  <c r="Q68" i="67" s="1"/>
  <c r="C20" i="15"/>
  <c r="C23" i="15" s="1"/>
  <c r="B2" i="69"/>
  <c r="B3" i="69" s="1"/>
  <c r="C57" i="69"/>
  <c r="C56" i="69" s="1"/>
  <c r="R19" i="6"/>
  <c r="H27" i="6"/>
  <c r="C46" i="68"/>
  <c r="C45" i="68" s="1"/>
  <c r="C43" i="68"/>
  <c r="C41" i="68" s="1"/>
  <c r="J52" i="37"/>
  <c r="K52" i="37" s="1"/>
  <c r="L52" i="37" s="1"/>
  <c r="M52" i="37" s="1"/>
  <c r="N52" i="37" s="1"/>
  <c r="O52" i="37" s="1"/>
  <c r="H7" i="37" s="1"/>
  <c r="F7" i="37"/>
  <c r="J7" i="37"/>
  <c r="K59" i="34"/>
  <c r="J48" i="35"/>
  <c r="L46" i="36"/>
  <c r="M46" i="36" s="1"/>
  <c r="N46" i="36" s="1"/>
  <c r="O46" i="36" s="1"/>
  <c r="H7" i="36" s="1"/>
  <c r="F7" i="36"/>
  <c r="J7" i="40"/>
  <c r="H7" i="40"/>
  <c r="O68" i="39"/>
  <c r="O70" i="39" s="1"/>
  <c r="F7" i="39" s="1"/>
  <c r="N70" i="39"/>
  <c r="H7" i="39" s="1"/>
  <c r="F7" i="40"/>
  <c r="C58" i="67"/>
  <c r="C67" i="67" s="1"/>
  <c r="C68" i="67" s="1"/>
  <c r="C56" i="11"/>
  <c r="C57" i="11" s="1"/>
  <c r="L51" i="67"/>
  <c r="C40" i="67" l="1"/>
  <c r="C45" i="67" s="1"/>
  <c r="C46" i="67" s="1"/>
  <c r="C80" i="67"/>
  <c r="C79" i="67" s="1"/>
  <c r="C26" i="15"/>
  <c r="C29" i="15" s="1"/>
  <c r="C49" i="68"/>
  <c r="C51" i="68" s="1"/>
  <c r="C52" i="68" s="1"/>
  <c r="B2" i="68" s="1"/>
  <c r="B3" i="68" s="1"/>
  <c r="R27" i="6"/>
  <c r="R6" i="1"/>
  <c r="U7" i="36"/>
  <c r="AB7" i="36"/>
  <c r="T36" i="36" s="1"/>
  <c r="G36" i="36" s="1"/>
  <c r="AB7" i="39"/>
  <c r="T47" i="39" s="1"/>
  <c r="G47" i="39" s="1"/>
  <c r="U7" i="39"/>
  <c r="U7" i="40"/>
  <c r="AB7" i="40"/>
  <c r="T42" i="40" s="1"/>
  <c r="G42" i="40" s="1"/>
  <c r="S7" i="36"/>
  <c r="AA7" i="36"/>
  <c r="R36" i="36" s="1"/>
  <c r="K48" i="35"/>
  <c r="L48" i="35" s="1"/>
  <c r="M48" i="35" s="1"/>
  <c r="N48" i="35" s="1"/>
  <c r="O48" i="35" s="1"/>
  <c r="J7" i="35" s="1"/>
  <c r="H7" i="35"/>
  <c r="W7" i="37"/>
  <c r="AC7" i="37"/>
  <c r="V42" i="37" s="1"/>
  <c r="I42" i="37" s="1"/>
  <c r="AA7" i="37"/>
  <c r="R42" i="37" s="1"/>
  <c r="S7" i="37"/>
  <c r="J7" i="39"/>
  <c r="AA7" i="40"/>
  <c r="R42" i="40" s="1"/>
  <c r="S7" i="40"/>
  <c r="AA7" i="39"/>
  <c r="R47" i="39" s="1"/>
  <c r="S7" i="39"/>
  <c r="AC7" i="40"/>
  <c r="V42" i="40" s="1"/>
  <c r="I42" i="40" s="1"/>
  <c r="W7" i="40"/>
  <c r="J7" i="36"/>
  <c r="F7" i="35"/>
  <c r="L59" i="34"/>
  <c r="U7" i="37"/>
  <c r="AB7" i="37"/>
  <c r="T42" i="37" s="1"/>
  <c r="G42" i="37" s="1"/>
  <c r="Q67" i="67"/>
  <c r="L57" i="67"/>
  <c r="L60" i="67" s="1"/>
  <c r="C71" i="67"/>
  <c r="F35" i="15"/>
  <c r="M21" i="15"/>
  <c r="Q47" i="67" l="1"/>
  <c r="Q53" i="67" s="1"/>
  <c r="D2" i="67"/>
  <c r="B2" i="67" s="1"/>
  <c r="C43" i="67"/>
  <c r="C83" i="67"/>
  <c r="C82" i="67" s="1"/>
  <c r="Q56" i="67"/>
  <c r="Q65" i="67"/>
  <c r="J14" i="15"/>
  <c r="C36" i="15"/>
  <c r="C57" i="15"/>
  <c r="J59" i="15"/>
  <c r="J60" i="15" s="1"/>
  <c r="Q48" i="15" s="1"/>
  <c r="J19" i="15"/>
  <c r="C13" i="15"/>
  <c r="Q49" i="15"/>
  <c r="C34" i="15"/>
  <c r="C31" i="15" s="1"/>
  <c r="F63" i="15"/>
  <c r="C62" i="15" s="1"/>
  <c r="J20" i="15"/>
  <c r="R16" i="1"/>
  <c r="C57" i="68"/>
  <c r="C56" i="68" s="1"/>
  <c r="G46" i="37"/>
  <c r="H46" i="37" s="1"/>
  <c r="G47" i="37"/>
  <c r="H47" i="37" s="1"/>
  <c r="AA7" i="35"/>
  <c r="R38" i="35" s="1"/>
  <c r="S7" i="35"/>
  <c r="M59" i="34"/>
  <c r="AC7" i="36"/>
  <c r="V36" i="36" s="1"/>
  <c r="I36" i="36" s="1"/>
  <c r="W7" i="36"/>
  <c r="I46" i="40"/>
  <c r="J46" i="40" s="1"/>
  <c r="R48" i="39"/>
  <c r="E47" i="39"/>
  <c r="E42" i="40"/>
  <c r="I47" i="40" s="1"/>
  <c r="J47" i="40" s="1"/>
  <c r="R43" i="40"/>
  <c r="I46" i="37"/>
  <c r="J46" i="37" s="1"/>
  <c r="U7" i="35"/>
  <c r="AB7" i="35"/>
  <c r="T38" i="35" s="1"/>
  <c r="G38" i="35" s="1"/>
  <c r="R37" i="36"/>
  <c r="E36" i="36"/>
  <c r="G47" i="40"/>
  <c r="H47" i="40" s="1"/>
  <c r="G46" i="40"/>
  <c r="H46" i="40" s="1"/>
  <c r="G40" i="36"/>
  <c r="H40" i="36" s="1"/>
  <c r="G41" i="36"/>
  <c r="H41" i="36" s="1"/>
  <c r="W7" i="39"/>
  <c r="AC7" i="39"/>
  <c r="V47" i="39" s="1"/>
  <c r="I47" i="39" s="1"/>
  <c r="E42" i="37"/>
  <c r="R43" i="37"/>
  <c r="W7" i="35"/>
  <c r="AC7" i="35"/>
  <c r="V38" i="35" s="1"/>
  <c r="I38" i="35" s="1"/>
  <c r="G51" i="39"/>
  <c r="H51" i="39" s="1"/>
  <c r="Q66" i="67"/>
  <c r="Q57" i="67"/>
  <c r="B3" i="67"/>
  <c r="Q62" i="67" l="1"/>
  <c r="Q75" i="67"/>
  <c r="J17" i="15"/>
  <c r="Q70" i="15"/>
  <c r="C37" i="15"/>
  <c r="C30" i="15" s="1"/>
  <c r="C39" i="15" s="1"/>
  <c r="C75" i="15"/>
  <c r="C56" i="15"/>
  <c r="C65" i="15" s="1"/>
  <c r="C61" i="15"/>
  <c r="C59" i="15" s="1"/>
  <c r="C64" i="15"/>
  <c r="J22" i="15"/>
  <c r="J13" i="15"/>
  <c r="J23" i="15" s="1"/>
  <c r="L57" i="15"/>
  <c r="L60" i="15" s="1"/>
  <c r="I42" i="35"/>
  <c r="J42" i="35" s="1"/>
  <c r="C43" i="37"/>
  <c r="B2" i="37" s="1"/>
  <c r="B3" i="37" s="1"/>
  <c r="C42" i="37"/>
  <c r="I51" i="39"/>
  <c r="J51" i="39" s="1"/>
  <c r="I52" i="39"/>
  <c r="J52" i="39" s="1"/>
  <c r="E40" i="36"/>
  <c r="F40" i="36" s="1"/>
  <c r="E41" i="36"/>
  <c r="F41" i="36" s="1"/>
  <c r="G42" i="35"/>
  <c r="H42" i="35" s="1"/>
  <c r="G43" i="35"/>
  <c r="H43" i="35" s="1"/>
  <c r="C42" i="40"/>
  <c r="C43" i="40"/>
  <c r="E51" i="39"/>
  <c r="F51" i="39" s="1"/>
  <c r="E52" i="39"/>
  <c r="F52" i="39" s="1"/>
  <c r="N59" i="34"/>
  <c r="O59" i="34" s="1"/>
  <c r="F7" i="34"/>
  <c r="G52" i="39"/>
  <c r="H52" i="39" s="1"/>
  <c r="E47" i="37"/>
  <c r="F47" i="37" s="1"/>
  <c r="E46" i="37"/>
  <c r="F46" i="37" s="1"/>
  <c r="C36" i="36"/>
  <c r="C37" i="36"/>
  <c r="B2" i="36" s="1"/>
  <c r="B3" i="36" s="1"/>
  <c r="I47" i="37"/>
  <c r="J47" i="37" s="1"/>
  <c r="E46" i="40"/>
  <c r="F46" i="40" s="1"/>
  <c r="E47" i="40"/>
  <c r="F47" i="40" s="1"/>
  <c r="C48" i="39"/>
  <c r="C47" i="39"/>
  <c r="I41" i="36"/>
  <c r="J41" i="36" s="1"/>
  <c r="I40" i="36"/>
  <c r="J40" i="36" s="1"/>
  <c r="E38" i="35"/>
  <c r="I43" i="35" s="1"/>
  <c r="J43" i="35" s="1"/>
  <c r="R39" i="35"/>
  <c r="L51" i="15"/>
  <c r="J16" i="15" l="1"/>
  <c r="J25" i="15" s="1"/>
  <c r="C58" i="15"/>
  <c r="C67" i="15" s="1"/>
  <c r="C68" i="15" s="1"/>
  <c r="C71" i="15" s="1"/>
  <c r="Q67" i="15"/>
  <c r="C40" i="15"/>
  <c r="C43" i="15" s="1"/>
  <c r="C80" i="15"/>
  <c r="C79" i="15" s="1"/>
  <c r="Q69" i="15"/>
  <c r="Q68" i="15" s="1"/>
  <c r="L46" i="15"/>
  <c r="Q66" i="15"/>
  <c r="Q57" i="15"/>
  <c r="S7" i="34"/>
  <c r="AA7" i="34"/>
  <c r="R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39" i="35"/>
  <c r="B2" i="35" s="1"/>
  <c r="B3" i="35" s="1"/>
  <c r="C38" i="35"/>
  <c r="E43" i="35"/>
  <c r="F43" i="35" s="1"/>
  <c r="E42" i="35"/>
  <c r="F42" i="35"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7" i="34"/>
  <c r="J7" i="34"/>
  <c r="B2" i="15" l="1"/>
  <c r="C46" i="15"/>
  <c r="Q56" i="15"/>
  <c r="Q62" i="15" s="1"/>
  <c r="Q47" i="15"/>
  <c r="Q53" i="15" s="1"/>
  <c r="C83" i="15"/>
  <c r="C82" i="15" s="1"/>
  <c r="Q65" i="15"/>
  <c r="Q75" i="15" s="1"/>
  <c r="B3" i="15"/>
  <c r="U7" i="34"/>
  <c r="AB7" i="34"/>
  <c r="T49" i="34" s="1"/>
  <c r="G49" i="34" s="1"/>
  <c r="R50" i="34"/>
  <c r="E49" i="34"/>
  <c r="W7" i="34"/>
  <c r="AC7" i="34"/>
  <c r="V49" i="34" s="1"/>
  <c r="I49" i="34" s="1"/>
  <c r="D20" i="9"/>
  <c r="AO6" i="1"/>
  <c r="D19" i="9"/>
  <c r="D102" i="9" l="1"/>
  <c r="G19" i="9"/>
  <c r="G21" i="9" s="1"/>
  <c r="D22" i="9"/>
  <c r="D21" i="9"/>
  <c r="B6" i="70"/>
  <c r="B2" i="70" s="1"/>
  <c r="B3" i="70" s="1"/>
  <c r="D103" i="9"/>
  <c r="G20" i="9"/>
  <c r="C32" i="9"/>
  <c r="I53" i="34"/>
  <c r="J53" i="34" s="1"/>
  <c r="I54" i="34"/>
  <c r="J54" i="34" s="1"/>
  <c r="G53" i="34"/>
  <c r="H53" i="34" s="1"/>
  <c r="G54" i="34"/>
  <c r="H54" i="34" s="1"/>
  <c r="E54" i="34"/>
  <c r="F54" i="34" s="1"/>
  <c r="E53" i="34"/>
  <c r="F53" i="34" s="1"/>
  <c r="C49" i="34"/>
  <c r="C50" i="34"/>
  <c r="B2" i="34" s="1"/>
  <c r="B3" i="34" s="1"/>
  <c r="R24" i="31" l="1"/>
  <c r="R90" i="31" s="1"/>
  <c r="S90" i="31" s="1"/>
  <c r="R24" i="78"/>
  <c r="H118" i="9"/>
  <c r="C35" i="9"/>
  <c r="F118" i="9" s="1"/>
  <c r="S24" i="31" l="1"/>
  <c r="R49" i="31"/>
  <c r="S49" i="31" s="1"/>
  <c r="R39" i="31"/>
  <c r="S39" i="31" s="1"/>
  <c r="R44" i="31"/>
  <c r="S44" i="31" s="1"/>
  <c r="R34" i="31"/>
  <c r="S34" i="31" s="1"/>
  <c r="R81" i="31"/>
  <c r="S81" i="31" s="1"/>
  <c r="R76" i="31"/>
  <c r="S76" i="31" s="1"/>
  <c r="R71" i="31"/>
  <c r="S71" i="31" s="1"/>
  <c r="R66" i="31"/>
  <c r="S66" i="31" s="1"/>
  <c r="R33" i="31"/>
  <c r="S33" i="31" s="1"/>
  <c r="R65" i="31"/>
  <c r="S65" i="31" s="1"/>
  <c r="R28" i="31"/>
  <c r="S28" i="31" s="1"/>
  <c r="R60" i="31"/>
  <c r="S60" i="31" s="1"/>
  <c r="R92" i="31"/>
  <c r="S92" i="31" s="1"/>
  <c r="R55" i="31"/>
  <c r="S55" i="31" s="1"/>
  <c r="R87" i="31"/>
  <c r="S87" i="31" s="1"/>
  <c r="R50" i="31"/>
  <c r="S50" i="31" s="1"/>
  <c r="R82" i="31"/>
  <c r="S82" i="31" s="1"/>
  <c r="R25" i="31"/>
  <c r="S25" i="31" s="1"/>
  <c r="R41" i="31"/>
  <c r="S41" i="31" s="1"/>
  <c r="R57" i="31"/>
  <c r="S57" i="31" s="1"/>
  <c r="R73" i="31"/>
  <c r="S73" i="31" s="1"/>
  <c r="R89" i="31"/>
  <c r="S89" i="31" s="1"/>
  <c r="R36" i="31"/>
  <c r="S36" i="31" s="1"/>
  <c r="R52" i="31"/>
  <c r="S52" i="31" s="1"/>
  <c r="R68" i="31"/>
  <c r="S68" i="31" s="1"/>
  <c r="R84" i="31"/>
  <c r="S84" i="31" s="1"/>
  <c r="R31" i="31"/>
  <c r="S31" i="31" s="1"/>
  <c r="R47" i="31"/>
  <c r="S47" i="31" s="1"/>
  <c r="R63" i="31"/>
  <c r="S63" i="31" s="1"/>
  <c r="R79" i="31"/>
  <c r="S79" i="31" s="1"/>
  <c r="R26" i="31"/>
  <c r="S26" i="31" s="1"/>
  <c r="R42" i="31"/>
  <c r="S42" i="31" s="1"/>
  <c r="R58" i="31"/>
  <c r="S58" i="31" s="1"/>
  <c r="R74" i="31"/>
  <c r="S74" i="31" s="1"/>
  <c r="R97" i="31"/>
  <c r="S97" i="31" s="1"/>
  <c r="R96" i="31"/>
  <c r="S96" i="31" s="1"/>
  <c r="R94" i="31"/>
  <c r="S94" i="31" s="1"/>
  <c r="R98" i="31"/>
  <c r="S98" i="31" s="1"/>
  <c r="R29" i="31"/>
  <c r="S29" i="31" s="1"/>
  <c r="R37" i="31"/>
  <c r="S37" i="31" s="1"/>
  <c r="R45" i="31"/>
  <c r="S45" i="31" s="1"/>
  <c r="R53" i="31"/>
  <c r="S53" i="31" s="1"/>
  <c r="R61" i="31"/>
  <c r="S61" i="31" s="1"/>
  <c r="R69" i="31"/>
  <c r="S69" i="31" s="1"/>
  <c r="R77" i="31"/>
  <c r="S77" i="31" s="1"/>
  <c r="R85" i="31"/>
  <c r="S85" i="31" s="1"/>
  <c r="R93" i="31"/>
  <c r="S93" i="31" s="1"/>
  <c r="R32" i="31"/>
  <c r="S32" i="31" s="1"/>
  <c r="R40" i="31"/>
  <c r="S40" i="31" s="1"/>
  <c r="R48" i="31"/>
  <c r="S48" i="31" s="1"/>
  <c r="R56" i="31"/>
  <c r="S56" i="31" s="1"/>
  <c r="R64" i="31"/>
  <c r="S64" i="31" s="1"/>
  <c r="R72" i="31"/>
  <c r="S72" i="31" s="1"/>
  <c r="R80" i="31"/>
  <c r="S80" i="31" s="1"/>
  <c r="R88" i="31"/>
  <c r="S88" i="31" s="1"/>
  <c r="R27" i="31"/>
  <c r="S27" i="31" s="1"/>
  <c r="R35" i="31"/>
  <c r="S35" i="31" s="1"/>
  <c r="R43" i="31"/>
  <c r="S43" i="31" s="1"/>
  <c r="R51" i="31"/>
  <c r="S51" i="31" s="1"/>
  <c r="R59" i="31"/>
  <c r="S59" i="31" s="1"/>
  <c r="R67" i="31"/>
  <c r="S67" i="31" s="1"/>
  <c r="R75" i="31"/>
  <c r="S75" i="31" s="1"/>
  <c r="R83" i="31"/>
  <c r="S83" i="31" s="1"/>
  <c r="R91" i="31"/>
  <c r="S91" i="31" s="1"/>
  <c r="R30" i="31"/>
  <c r="S30" i="31" s="1"/>
  <c r="R38" i="31"/>
  <c r="S38" i="31" s="1"/>
  <c r="R46" i="31"/>
  <c r="S46" i="31" s="1"/>
  <c r="R54" i="31"/>
  <c r="S54" i="31" s="1"/>
  <c r="R62" i="31"/>
  <c r="S62" i="31" s="1"/>
  <c r="R70" i="31"/>
  <c r="S70" i="31" s="1"/>
  <c r="R78" i="31"/>
  <c r="S78" i="31" s="1"/>
  <c r="R86" i="31"/>
  <c r="S86" i="31" s="1"/>
  <c r="S24" i="78"/>
  <c r="R26" i="78"/>
  <c r="S26" i="78" s="1"/>
  <c r="R30" i="78"/>
  <c r="S30" i="78" s="1"/>
  <c r="R34" i="78"/>
  <c r="S34" i="78" s="1"/>
  <c r="R38" i="78"/>
  <c r="S38" i="78" s="1"/>
  <c r="R41" i="78"/>
  <c r="S41" i="78" s="1"/>
  <c r="R25" i="78"/>
  <c r="S25" i="78" s="1"/>
  <c r="R29" i="78"/>
  <c r="S29" i="78" s="1"/>
  <c r="R33" i="78"/>
  <c r="S33" i="78" s="1"/>
  <c r="R36" i="78"/>
  <c r="S36" i="78" s="1"/>
  <c r="R44" i="78"/>
  <c r="S44" i="78" s="1"/>
  <c r="R47" i="78"/>
  <c r="S47" i="78" s="1"/>
  <c r="R51" i="78"/>
  <c r="S51" i="78" s="1"/>
  <c r="R55" i="78"/>
  <c r="S55" i="78" s="1"/>
  <c r="R60" i="78"/>
  <c r="S60" i="78" s="1"/>
  <c r="R64" i="78"/>
  <c r="S64" i="78" s="1"/>
  <c r="R68" i="78"/>
  <c r="S68" i="78" s="1"/>
  <c r="R72" i="78"/>
  <c r="S72" i="78" s="1"/>
  <c r="R77" i="78"/>
  <c r="S77" i="78" s="1"/>
  <c r="R81" i="78"/>
  <c r="S81" i="78" s="1"/>
  <c r="R84" i="78"/>
  <c r="S84" i="78" s="1"/>
  <c r="R88" i="78"/>
  <c r="S88" i="78" s="1"/>
  <c r="R93" i="78"/>
  <c r="S93" i="78" s="1"/>
  <c r="R97" i="78"/>
  <c r="S97" i="78" s="1"/>
  <c r="R101" i="78"/>
  <c r="S101" i="78" s="1"/>
  <c r="R105" i="78"/>
  <c r="S105" i="78" s="1"/>
  <c r="R110" i="78"/>
  <c r="S110" i="78" s="1"/>
  <c r="R113" i="78"/>
  <c r="S113" i="78" s="1"/>
  <c r="R117" i="78"/>
  <c r="S117" i="78" s="1"/>
  <c r="R122" i="78"/>
  <c r="S122" i="78" s="1"/>
  <c r="R126" i="78"/>
  <c r="S126" i="78" s="1"/>
  <c r="R129" i="78"/>
  <c r="S129" i="78" s="1"/>
  <c r="R133" i="78"/>
  <c r="S133" i="78" s="1"/>
  <c r="R136" i="78"/>
  <c r="S136" i="78" s="1"/>
  <c r="R140" i="78"/>
  <c r="S140" i="78" s="1"/>
  <c r="R144" i="78"/>
  <c r="S144" i="78" s="1"/>
  <c r="R149" i="78"/>
  <c r="S149" i="78" s="1"/>
  <c r="R153" i="78"/>
  <c r="S153" i="78" s="1"/>
  <c r="R158" i="78"/>
  <c r="S158" i="78" s="1"/>
  <c r="R161" i="78"/>
  <c r="S161" i="78" s="1"/>
  <c r="R165" i="78"/>
  <c r="S165" i="78" s="1"/>
  <c r="R169" i="78"/>
  <c r="S169" i="78" s="1"/>
  <c r="R172" i="78"/>
  <c r="S172" i="78" s="1"/>
  <c r="R175" i="78"/>
  <c r="S175" i="78" s="1"/>
  <c r="R177" i="78"/>
  <c r="S177" i="78" s="1"/>
  <c r="R179" i="78"/>
  <c r="S179" i="78" s="1"/>
  <c r="R181" i="78"/>
  <c r="S181" i="78" s="1"/>
  <c r="R183" i="78"/>
  <c r="S183" i="78" s="1"/>
  <c r="R185" i="78"/>
  <c r="S185" i="78" s="1"/>
  <c r="R187" i="78"/>
  <c r="S187" i="78" s="1"/>
  <c r="R189" i="78"/>
  <c r="S189" i="78" s="1"/>
  <c r="R191" i="78"/>
  <c r="S191" i="78" s="1"/>
  <c r="R193" i="78"/>
  <c r="S193" i="78" s="1"/>
  <c r="R195" i="78"/>
  <c r="S195" i="78" s="1"/>
  <c r="R197" i="78"/>
  <c r="S197" i="78" s="1"/>
  <c r="R199" i="78"/>
  <c r="S199" i="78" s="1"/>
  <c r="R201" i="78"/>
  <c r="S201" i="78" s="1"/>
  <c r="R203" i="78"/>
  <c r="S203" i="78" s="1"/>
  <c r="R205" i="78"/>
  <c r="S205" i="78" s="1"/>
  <c r="R207" i="78"/>
  <c r="S207" i="78" s="1"/>
  <c r="R209" i="78"/>
  <c r="S209" i="78" s="1"/>
  <c r="R211" i="78"/>
  <c r="S211" i="78" s="1"/>
  <c r="R213" i="78"/>
  <c r="S213" i="78" s="1"/>
  <c r="R215" i="78"/>
  <c r="S215" i="78" s="1"/>
  <c r="R217" i="78"/>
  <c r="S217" i="78" s="1"/>
  <c r="R219" i="78"/>
  <c r="S219" i="78" s="1"/>
  <c r="R221" i="78"/>
  <c r="S221" i="78" s="1"/>
  <c r="R223" i="78"/>
  <c r="S223" i="78" s="1"/>
  <c r="R225" i="78"/>
  <c r="S225" i="78" s="1"/>
  <c r="R227" i="78"/>
  <c r="S227" i="78" s="1"/>
  <c r="R229" i="78"/>
  <c r="S229" i="78" s="1"/>
  <c r="R231" i="78"/>
  <c r="S231" i="78" s="1"/>
  <c r="R233" i="78"/>
  <c r="S233" i="78" s="1"/>
  <c r="R235" i="78"/>
  <c r="S235" i="78" s="1"/>
  <c r="R237" i="78"/>
  <c r="S237" i="78" s="1"/>
  <c r="R239" i="78"/>
  <c r="S239" i="78" s="1"/>
  <c r="R241" i="78"/>
  <c r="S241" i="78" s="1"/>
  <c r="R243" i="78"/>
  <c r="S243" i="78" s="1"/>
  <c r="R245" i="78"/>
  <c r="S245" i="78" s="1"/>
  <c r="R247" i="78"/>
  <c r="S247" i="78" s="1"/>
  <c r="R249" i="78"/>
  <c r="S249" i="78" s="1"/>
  <c r="R251" i="78"/>
  <c r="S251" i="78" s="1"/>
  <c r="R253" i="78"/>
  <c r="S253" i="78" s="1"/>
  <c r="R255" i="78"/>
  <c r="S255" i="78" s="1"/>
  <c r="R257" i="78"/>
  <c r="S257" i="78" s="1"/>
  <c r="R259" i="78"/>
  <c r="S259" i="78" s="1"/>
  <c r="R28" i="78"/>
  <c r="S28" i="78" s="1"/>
  <c r="R37" i="78"/>
  <c r="S37" i="78" s="1"/>
  <c r="R42" i="78"/>
  <c r="S42" i="78" s="1"/>
  <c r="R31" i="78"/>
  <c r="S31" i="78" s="1"/>
  <c r="R40" i="78"/>
  <c r="S40" i="78" s="1"/>
  <c r="R49" i="78"/>
  <c r="S49" i="78" s="1"/>
  <c r="R57" i="78"/>
  <c r="S57" i="78" s="1"/>
  <c r="R66" i="78"/>
  <c r="S66" i="78" s="1"/>
  <c r="R74" i="78"/>
  <c r="S74" i="78" s="1"/>
  <c r="R83" i="78"/>
  <c r="S83" i="78" s="1"/>
  <c r="R90" i="78"/>
  <c r="S90" i="78" s="1"/>
  <c r="R100" i="78"/>
  <c r="S100" i="78" s="1"/>
  <c r="R107" i="78"/>
  <c r="S107" i="78" s="1"/>
  <c r="R115" i="78"/>
  <c r="S115" i="78" s="1"/>
  <c r="R124" i="78"/>
  <c r="S124" i="78" s="1"/>
  <c r="R130" i="78"/>
  <c r="S130" i="78" s="1"/>
  <c r="R138" i="78"/>
  <c r="S138" i="78" s="1"/>
  <c r="R147" i="78"/>
  <c r="S147" i="78" s="1"/>
  <c r="R155" i="78"/>
  <c r="S155" i="78" s="1"/>
  <c r="R163" i="78"/>
  <c r="S163" i="78" s="1"/>
  <c r="R171" i="78"/>
  <c r="S171" i="78" s="1"/>
  <c r="R176" i="78"/>
  <c r="S176" i="78" s="1"/>
  <c r="R180" i="78"/>
  <c r="S180" i="78" s="1"/>
  <c r="R184" i="78"/>
  <c r="S184" i="78" s="1"/>
  <c r="R188" i="78"/>
  <c r="S188" i="78" s="1"/>
  <c r="R192" i="78"/>
  <c r="S192" i="78" s="1"/>
  <c r="R196" i="78"/>
  <c r="S196" i="78" s="1"/>
  <c r="R200" i="78"/>
  <c r="S200" i="78" s="1"/>
  <c r="R204" i="78"/>
  <c r="S204" i="78" s="1"/>
  <c r="R208" i="78"/>
  <c r="S208" i="78" s="1"/>
  <c r="R212" i="78"/>
  <c r="S212" i="78" s="1"/>
  <c r="R216" i="78"/>
  <c r="S216" i="78" s="1"/>
  <c r="R220" i="78"/>
  <c r="S220" i="78" s="1"/>
  <c r="R224" i="78"/>
  <c r="S224" i="78" s="1"/>
  <c r="R228" i="78"/>
  <c r="S228" i="78" s="1"/>
  <c r="R232" i="78"/>
  <c r="S232" i="78" s="1"/>
  <c r="R236" i="78"/>
  <c r="S236" i="78" s="1"/>
  <c r="R240" i="78"/>
  <c r="S240" i="78" s="1"/>
  <c r="R244" i="78"/>
  <c r="S244" i="78" s="1"/>
  <c r="R248" i="78"/>
  <c r="S248" i="78" s="1"/>
  <c r="R252" i="78"/>
  <c r="S252" i="78" s="1"/>
  <c r="R256" i="78"/>
  <c r="S256" i="78" s="1"/>
  <c r="R260" i="78"/>
  <c r="S260" i="78" s="1"/>
  <c r="R262" i="78"/>
  <c r="S262" i="78" s="1"/>
  <c r="R264" i="78"/>
  <c r="S264" i="78" s="1"/>
  <c r="R266" i="78"/>
  <c r="S266" i="78" s="1"/>
  <c r="R268" i="78"/>
  <c r="S268" i="78" s="1"/>
  <c r="R270" i="78"/>
  <c r="S270" i="78" s="1"/>
  <c r="R272" i="78"/>
  <c r="S272" i="78" s="1"/>
  <c r="R274" i="78"/>
  <c r="S274" i="78" s="1"/>
  <c r="R276" i="78"/>
  <c r="S276" i="78" s="1"/>
  <c r="R278" i="78"/>
  <c r="S278" i="78" s="1"/>
  <c r="R46" i="78"/>
  <c r="S46" i="78" s="1"/>
  <c r="R50" i="78"/>
  <c r="S50" i="78" s="1"/>
  <c r="R54" i="78"/>
  <c r="S54" i="78" s="1"/>
  <c r="R58" i="78"/>
  <c r="S58" i="78" s="1"/>
  <c r="R61" i="78"/>
  <c r="S61" i="78" s="1"/>
  <c r="R65" i="78"/>
  <c r="S65" i="78" s="1"/>
  <c r="R69" i="78"/>
  <c r="S69" i="78" s="1"/>
  <c r="R73" i="78"/>
  <c r="S73" i="78" s="1"/>
  <c r="R76" i="78"/>
  <c r="S76" i="78" s="1"/>
  <c r="R80" i="78"/>
  <c r="S80" i="78" s="1"/>
  <c r="R85" i="78"/>
  <c r="S85" i="78" s="1"/>
  <c r="R89" i="78"/>
  <c r="S89" i="78" s="1"/>
  <c r="R92" i="78"/>
  <c r="S92" i="78" s="1"/>
  <c r="R95" i="78"/>
  <c r="S95" i="78" s="1"/>
  <c r="R99" i="78"/>
  <c r="S99" i="78" s="1"/>
  <c r="R103" i="78"/>
  <c r="S103" i="78" s="1"/>
  <c r="R108" i="78"/>
  <c r="S108" i="78" s="1"/>
  <c r="R111" i="78"/>
  <c r="S111" i="78" s="1"/>
  <c r="R116" i="78"/>
  <c r="S116" i="78" s="1"/>
  <c r="R120" i="78"/>
  <c r="S120" i="78" s="1"/>
  <c r="R123" i="78"/>
  <c r="S123" i="78" s="1"/>
  <c r="R128" i="78"/>
  <c r="S128" i="78" s="1"/>
  <c r="R132" i="78"/>
  <c r="S132" i="78" s="1"/>
  <c r="R137" i="78"/>
  <c r="S137" i="78" s="1"/>
  <c r="R141" i="78"/>
  <c r="S141" i="78" s="1"/>
  <c r="R145" i="78"/>
  <c r="S145" i="78" s="1"/>
  <c r="R148" i="78"/>
  <c r="S148" i="78" s="1"/>
  <c r="R152" i="78"/>
  <c r="S152" i="78" s="1"/>
  <c r="R156" i="78"/>
  <c r="S156" i="78" s="1"/>
  <c r="R160" i="78"/>
  <c r="S160" i="78" s="1"/>
  <c r="R164" i="78"/>
  <c r="S164" i="78" s="1"/>
  <c r="R168" i="78"/>
  <c r="S168" i="78" s="1"/>
  <c r="R173" i="78"/>
  <c r="S173" i="78" s="1"/>
  <c r="R280" i="78"/>
  <c r="S280" i="78" s="1"/>
  <c r="R282" i="78"/>
  <c r="S282" i="78" s="1"/>
  <c r="R284" i="78"/>
  <c r="S284" i="78" s="1"/>
  <c r="R286" i="78"/>
  <c r="S286" i="78" s="1"/>
  <c r="R288" i="78"/>
  <c r="S288" i="78" s="1"/>
  <c r="R290" i="78"/>
  <c r="S290" i="78" s="1"/>
  <c r="R292" i="78"/>
  <c r="S292" i="78" s="1"/>
  <c r="R294" i="78"/>
  <c r="S294" i="78" s="1"/>
  <c r="R296" i="78"/>
  <c r="S296" i="78" s="1"/>
  <c r="R298" i="78"/>
  <c r="S298" i="78" s="1"/>
  <c r="R300" i="78"/>
  <c r="S300" i="78" s="1"/>
  <c r="R302" i="78"/>
  <c r="S302" i="78" s="1"/>
  <c r="R304" i="78"/>
  <c r="S304" i="78" s="1"/>
  <c r="R306" i="78"/>
  <c r="S306" i="78" s="1"/>
  <c r="R308" i="78"/>
  <c r="S308" i="78" s="1"/>
  <c r="R310" i="78"/>
  <c r="S310" i="78" s="1"/>
  <c r="R312" i="78"/>
  <c r="S312" i="78" s="1"/>
  <c r="R314" i="78"/>
  <c r="S314" i="78" s="1"/>
  <c r="R316" i="78"/>
  <c r="S316" i="78" s="1"/>
  <c r="R318" i="78"/>
  <c r="S318" i="78" s="1"/>
  <c r="R320" i="78"/>
  <c r="S320" i="78" s="1"/>
  <c r="R322" i="78"/>
  <c r="S322" i="78" s="1"/>
  <c r="R324" i="78"/>
  <c r="S324" i="78" s="1"/>
  <c r="R326" i="78"/>
  <c r="S326" i="78" s="1"/>
  <c r="R328" i="78"/>
  <c r="S328" i="78" s="1"/>
  <c r="R330" i="78"/>
  <c r="S330" i="78" s="1"/>
  <c r="R332" i="78"/>
  <c r="S332" i="78" s="1"/>
  <c r="R334" i="78"/>
  <c r="S334" i="78" s="1"/>
  <c r="R336" i="78"/>
  <c r="S336" i="78" s="1"/>
  <c r="R338" i="78"/>
  <c r="S338" i="78" s="1"/>
  <c r="R340" i="78"/>
  <c r="S340" i="78" s="1"/>
  <c r="R342" i="78"/>
  <c r="S342" i="78" s="1"/>
  <c r="R344" i="78"/>
  <c r="S344" i="78" s="1"/>
  <c r="R346" i="78"/>
  <c r="S346" i="78" s="1"/>
  <c r="R348" i="78"/>
  <c r="S348" i="78" s="1"/>
  <c r="R350" i="78"/>
  <c r="S350" i="78" s="1"/>
  <c r="R352" i="78"/>
  <c r="S352" i="78" s="1"/>
  <c r="R354" i="78"/>
  <c r="S354" i="78" s="1"/>
  <c r="R356" i="78"/>
  <c r="S356" i="78" s="1"/>
  <c r="R358" i="78"/>
  <c r="S358" i="78" s="1"/>
  <c r="R360" i="78"/>
  <c r="S360" i="78" s="1"/>
  <c r="R32" i="78"/>
  <c r="S32" i="78" s="1"/>
  <c r="R39" i="78"/>
  <c r="S39" i="78" s="1"/>
  <c r="R27" i="78"/>
  <c r="S27" i="78" s="1"/>
  <c r="R35" i="78"/>
  <c r="S35" i="78" s="1"/>
  <c r="R45" i="78"/>
  <c r="S45" i="78" s="1"/>
  <c r="R53" i="78"/>
  <c r="S53" i="78" s="1"/>
  <c r="R62" i="78"/>
  <c r="S62" i="78" s="1"/>
  <c r="R70" i="78"/>
  <c r="S70" i="78" s="1"/>
  <c r="R79" i="78"/>
  <c r="S79" i="78" s="1"/>
  <c r="R86" i="78"/>
  <c r="S86" i="78" s="1"/>
  <c r="R96" i="78"/>
  <c r="S96" i="78" s="1"/>
  <c r="R104" i="78"/>
  <c r="S104" i="78" s="1"/>
  <c r="R112" i="78"/>
  <c r="S112" i="78" s="1"/>
  <c r="R119" i="78"/>
  <c r="S119" i="78" s="1"/>
  <c r="R127" i="78"/>
  <c r="S127" i="78" s="1"/>
  <c r="R135" i="78"/>
  <c r="S135" i="78" s="1"/>
  <c r="R143" i="78"/>
  <c r="S143" i="78" s="1"/>
  <c r="R151" i="78"/>
  <c r="S151" i="78" s="1"/>
  <c r="R159" i="78"/>
  <c r="S159" i="78" s="1"/>
  <c r="R167" i="78"/>
  <c r="S167" i="78" s="1"/>
  <c r="R174" i="78"/>
  <c r="S174" i="78" s="1"/>
  <c r="R178" i="78"/>
  <c r="S178" i="78" s="1"/>
  <c r="R182" i="78"/>
  <c r="S182" i="78" s="1"/>
  <c r="R186" i="78"/>
  <c r="S186" i="78" s="1"/>
  <c r="R190" i="78"/>
  <c r="S190" i="78" s="1"/>
  <c r="R194" i="78"/>
  <c r="S194" i="78" s="1"/>
  <c r="R198" i="78"/>
  <c r="S198" i="78" s="1"/>
  <c r="R202" i="78"/>
  <c r="S202" i="78" s="1"/>
  <c r="R206" i="78"/>
  <c r="S206" i="78" s="1"/>
  <c r="R210" i="78"/>
  <c r="S210" i="78" s="1"/>
  <c r="R214" i="78"/>
  <c r="S214" i="78" s="1"/>
  <c r="R218" i="78"/>
  <c r="S218" i="78" s="1"/>
  <c r="R222" i="78"/>
  <c r="S222" i="78" s="1"/>
  <c r="R226" i="78"/>
  <c r="S226" i="78" s="1"/>
  <c r="R230" i="78"/>
  <c r="S230" i="78" s="1"/>
  <c r="R234" i="78"/>
  <c r="S234" i="78" s="1"/>
  <c r="R238" i="78"/>
  <c r="S238" i="78" s="1"/>
  <c r="R242" i="78"/>
  <c r="S242" i="78" s="1"/>
  <c r="R246" i="78"/>
  <c r="S246" i="78" s="1"/>
  <c r="R250" i="78"/>
  <c r="S250" i="78" s="1"/>
  <c r="R254" i="78"/>
  <c r="S254" i="78" s="1"/>
  <c r="R258" i="78"/>
  <c r="S258" i="78" s="1"/>
  <c r="R261" i="78"/>
  <c r="S261" i="78" s="1"/>
  <c r="R263" i="78"/>
  <c r="S263" i="78" s="1"/>
  <c r="R265" i="78"/>
  <c r="S265" i="78" s="1"/>
  <c r="R267" i="78"/>
  <c r="S267" i="78" s="1"/>
  <c r="R269" i="78"/>
  <c r="S269" i="78" s="1"/>
  <c r="R271" i="78"/>
  <c r="S271" i="78" s="1"/>
  <c r="R273" i="78"/>
  <c r="S273" i="78" s="1"/>
  <c r="R275" i="78"/>
  <c r="S275" i="78" s="1"/>
  <c r="R277" i="78"/>
  <c r="S277" i="78" s="1"/>
  <c r="R43" i="78"/>
  <c r="S43" i="78" s="1"/>
  <c r="R48" i="78"/>
  <c r="S48" i="78" s="1"/>
  <c r="R52" i="78"/>
  <c r="S52" i="78" s="1"/>
  <c r="R56" i="78"/>
  <c r="S56" i="78" s="1"/>
  <c r="R59" i="78"/>
  <c r="S59" i="78" s="1"/>
  <c r="R63" i="78"/>
  <c r="S63" i="78" s="1"/>
  <c r="R67" i="78"/>
  <c r="S67" i="78" s="1"/>
  <c r="R71" i="78"/>
  <c r="S71" i="78" s="1"/>
  <c r="R75" i="78"/>
  <c r="S75" i="78" s="1"/>
  <c r="R78" i="78"/>
  <c r="S78" i="78" s="1"/>
  <c r="R82" i="78"/>
  <c r="S82" i="78" s="1"/>
  <c r="R87" i="78"/>
  <c r="S87" i="78" s="1"/>
  <c r="R91" i="78"/>
  <c r="S91" i="78" s="1"/>
  <c r="R94" i="78"/>
  <c r="S94" i="78" s="1"/>
  <c r="R98" i="78"/>
  <c r="S98" i="78" s="1"/>
  <c r="R102" i="78"/>
  <c r="S102" i="78" s="1"/>
  <c r="R106" i="78"/>
  <c r="S106" i="78" s="1"/>
  <c r="R109" i="78"/>
  <c r="S109" i="78" s="1"/>
  <c r="R114" i="78"/>
  <c r="S114" i="78" s="1"/>
  <c r="R118" i="78"/>
  <c r="S118" i="78" s="1"/>
  <c r="R121" i="78"/>
  <c r="S121" i="78" s="1"/>
  <c r="R125" i="78"/>
  <c r="S125" i="78" s="1"/>
  <c r="R131" i="78"/>
  <c r="S131" i="78" s="1"/>
  <c r="R134" i="78"/>
  <c r="S134" i="78" s="1"/>
  <c r="R139" i="78"/>
  <c r="S139" i="78" s="1"/>
  <c r="R142" i="78"/>
  <c r="S142" i="78" s="1"/>
  <c r="R146" i="78"/>
  <c r="S146" i="78" s="1"/>
  <c r="R150" i="78"/>
  <c r="S150" i="78" s="1"/>
  <c r="R154" i="78"/>
  <c r="S154" i="78" s="1"/>
  <c r="R157" i="78"/>
  <c r="S157" i="78" s="1"/>
  <c r="R162" i="78"/>
  <c r="S162" i="78" s="1"/>
  <c r="R166" i="78"/>
  <c r="S166" i="78" s="1"/>
  <c r="R170" i="78"/>
  <c r="S170" i="78" s="1"/>
  <c r="R279" i="78"/>
  <c r="S279" i="78" s="1"/>
  <c r="R281" i="78"/>
  <c r="S281" i="78" s="1"/>
  <c r="R283" i="78"/>
  <c r="S283" i="78" s="1"/>
  <c r="R285" i="78"/>
  <c r="S285" i="78" s="1"/>
  <c r="R287" i="78"/>
  <c r="S287" i="78" s="1"/>
  <c r="R289" i="78"/>
  <c r="S289" i="78" s="1"/>
  <c r="R291" i="78"/>
  <c r="S291" i="78" s="1"/>
  <c r="R293" i="78"/>
  <c r="S293" i="78" s="1"/>
  <c r="R295" i="78"/>
  <c r="S295" i="78" s="1"/>
  <c r="R297" i="78"/>
  <c r="S297" i="78" s="1"/>
  <c r="R299" i="78"/>
  <c r="S299" i="78" s="1"/>
  <c r="R301" i="78"/>
  <c r="S301" i="78" s="1"/>
  <c r="R303" i="78"/>
  <c r="S303" i="78" s="1"/>
  <c r="R305" i="78"/>
  <c r="S305" i="78" s="1"/>
  <c r="R307" i="78"/>
  <c r="S307" i="78" s="1"/>
  <c r="R309" i="78"/>
  <c r="S309" i="78" s="1"/>
  <c r="R311" i="78"/>
  <c r="S311" i="78" s="1"/>
  <c r="R313" i="78"/>
  <c r="S313" i="78" s="1"/>
  <c r="R315" i="78"/>
  <c r="S315" i="78" s="1"/>
  <c r="R317" i="78"/>
  <c r="S317" i="78" s="1"/>
  <c r="R319" i="78"/>
  <c r="S319" i="78" s="1"/>
  <c r="R321" i="78"/>
  <c r="S321" i="78" s="1"/>
  <c r="R323" i="78"/>
  <c r="S323" i="78" s="1"/>
  <c r="R325" i="78"/>
  <c r="S325" i="78" s="1"/>
  <c r="R327" i="78"/>
  <c r="S327" i="78" s="1"/>
  <c r="R329" i="78"/>
  <c r="S329" i="78" s="1"/>
  <c r="R331" i="78"/>
  <c r="S331" i="78" s="1"/>
  <c r="R333" i="78"/>
  <c r="S333" i="78" s="1"/>
  <c r="R335" i="78"/>
  <c r="S335" i="78" s="1"/>
  <c r="R337" i="78"/>
  <c r="S337" i="78" s="1"/>
  <c r="R339" i="78"/>
  <c r="S339" i="78" s="1"/>
  <c r="R341" i="78"/>
  <c r="S341" i="78" s="1"/>
  <c r="R343" i="78"/>
  <c r="S343" i="78" s="1"/>
  <c r="R345" i="78"/>
  <c r="S345" i="78" s="1"/>
  <c r="R347" i="78"/>
  <c r="S347" i="78" s="1"/>
  <c r="R349" i="78"/>
  <c r="S349" i="78" s="1"/>
  <c r="R351" i="78"/>
  <c r="S351" i="78" s="1"/>
  <c r="R353" i="78"/>
  <c r="S353" i="78" s="1"/>
  <c r="R355" i="78"/>
  <c r="S355" i="78" s="1"/>
  <c r="R357" i="78"/>
  <c r="S357" i="78" s="1"/>
  <c r="R359" i="78"/>
  <c r="S359" i="78" s="1"/>
  <c r="R361" i="78"/>
  <c r="S361" i="78" s="1"/>
  <c r="C34" i="9"/>
  <c r="D118" i="9" s="1"/>
  <c r="D4" i="52" s="1"/>
  <c r="B47" i="72" s="1"/>
  <c r="F119" i="9"/>
  <c r="F5" i="52" s="1"/>
  <c r="B53" i="72" s="1"/>
  <c r="F4" i="52"/>
  <c r="B51" i="72" s="1"/>
  <c r="G118" i="9"/>
  <c r="G4" i="52" s="1"/>
  <c r="B52" i="72" s="1"/>
  <c r="I118" i="9"/>
  <c r="H4" i="52"/>
  <c r="H101" i="9"/>
  <c r="H119" i="9"/>
  <c r="H5" i="52" s="1"/>
  <c r="C104" i="9"/>
  <c r="D119" i="9" l="1"/>
  <c r="D5" i="52" s="1"/>
  <c r="B49" i="72" s="1"/>
  <c r="S22" i="31"/>
  <c r="B20" i="31" s="1"/>
  <c r="D14" i="74" s="1"/>
  <c r="S22" i="78"/>
  <c r="E118" i="9"/>
  <c r="E4" i="52" s="1"/>
  <c r="B48" i="72" s="1"/>
  <c r="H102" i="9"/>
  <c r="D7" i="53" s="1"/>
  <c r="B21" i="72" s="1"/>
  <c r="I4" i="52"/>
  <c r="C105" i="9"/>
  <c r="D45" i="9"/>
  <c r="D5" i="53"/>
  <c r="H107" i="9"/>
  <c r="M48" i="9"/>
  <c r="B5" i="74" l="1"/>
  <c r="G14" i="74"/>
  <c r="F14" i="74"/>
  <c r="E14" i="74"/>
  <c r="R22" i="31"/>
  <c r="B21" i="31" s="1"/>
  <c r="R22" i="78"/>
  <c r="B21" i="78" s="1"/>
  <c r="B20" i="78"/>
  <c r="T22" i="31" s="1"/>
  <c r="D122" i="9"/>
  <c r="H108" i="9"/>
  <c r="D15" i="53" s="1"/>
  <c r="B31" i="72" s="1"/>
  <c r="D13" i="53"/>
  <c r="C85" i="9"/>
  <c r="C64" i="9"/>
  <c r="C63" i="9" s="1"/>
  <c r="C67" i="9" s="1"/>
  <c r="C68" i="9" s="1"/>
  <c r="D54" i="9" s="1"/>
  <c r="C93" i="9"/>
  <c r="C86" i="9" s="1"/>
  <c r="C72" i="9"/>
  <c r="C78" i="9"/>
  <c r="C73" i="9" s="1"/>
  <c r="D55" i="9"/>
  <c r="M53" i="9" s="1"/>
  <c r="D53" i="9"/>
  <c r="D52" i="9"/>
  <c r="C5" i="74"/>
  <c r="D5" i="74"/>
  <c r="D6" i="53"/>
  <c r="B22" i="72" s="1"/>
  <c r="B20" i="72"/>
  <c r="C95" i="9" l="1"/>
  <c r="C79" i="9"/>
  <c r="D14" i="53"/>
  <c r="B32" i="72" s="1"/>
  <c r="B30" i="72"/>
  <c r="D123" i="9"/>
  <c r="D9" i="52" s="1"/>
  <c r="B6" i="74"/>
  <c r="D8" i="52"/>
  <c r="C6" i="74" l="1"/>
  <c r="D6" i="74"/>
  <c r="C80" i="9"/>
  <c r="E80" i="9" s="1"/>
  <c r="E81" i="9" s="1"/>
  <c r="C96" i="9"/>
  <c r="E96" i="9" s="1"/>
  <c r="E97"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<sst xmlns="http://schemas.openxmlformats.org/spreadsheetml/2006/main" count="8641" uniqueCount="3921">
  <si>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</si>
  <si>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</si>
  <si>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</si>
  <si>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</si>
  <si>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</si>
  <si>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</si>
  <si>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</si>
  <si>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</si>
  <si>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</si>
  <si>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</si>
  <si>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</si>
  <si>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</si>
  <si>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</si>
  <si>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</si>
  <si>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</si>
  <si>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</si>
  <si>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</si>
  <si>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</si>
  <si>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</si>
  <si>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</si>
  <si>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</si>
  <si>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</si>
  <si>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</si>
  <si>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</si>
  <si>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</si>
  <si>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</si>
  <si>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</si>
  <si>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</si>
  <si>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</si>
  <si>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</si>
  <si>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</si>
  <si>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</si>
  <si>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</si>
  <si>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</si>
  <si>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</si>
  <si>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</si>
  <si>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</si>
  <si>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</si>
  <si>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</si>
  <si>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</si>
  <si>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</si>
  <si>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</si>
  <si>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</si>
  <si>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</si>
  <si>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</si>
  <si>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</si>
  <si>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</si>
  <si>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</si>
  <si>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</si>
  <si>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</si>
  <si>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</si>
  <si>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</si>
  <si>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</si>
  <si>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</si>
  <si>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</si>
  <si>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</si>
  <si>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</si>
  <si>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</si>
  <si>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</si>
  <si>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</si>
  <si>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</si>
  <si>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</si>
  <si>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</si>
  <si>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</si>
  <si>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</si>
  <si>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</si>
  <si>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</si>
  <si>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</si>
  <si>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</si>
  <si>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</si>
  <si>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</si>
  <si>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</si>
  <si>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</si>
  <si>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</si>
  <si>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</si>
  <si>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</si>
  <si>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</si>
  <si>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</si>
  <si>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</si>
  <si>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</si>
  <si>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</si>
  <si>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</si>
  <si>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</si>
  <si>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</si>
  <si>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</si>
  <si>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</si>
  <si>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</si>
  <si>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</si>
  <si>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</si>
  <si>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</si>
  <si>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</si>
  <si>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</si>
  <si>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</si>
  <si>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</si>
  <si>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</si>
  <si>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</si>
  <si>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</si>
  <si>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</si>
  <si>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</si>
  <si>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</si>
  <si>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</si>
  <si>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</si>
  <si>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</si>
  <si>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</si>
  <si>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</si>
  <si>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</si>
  <si>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</si>
  <si>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</si>
  <si>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</si>
  <si>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</si>
  <si>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</si>
  <si>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</si>
  <si>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</si>
  <si>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</si>
  <si>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</si>
  <si>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</si>
  <si>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</si>
  <si>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</si>
  <si>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</si>
  <si>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</si>
  <si>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</si>
  <si>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</si>
  <si>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</si>
  <si>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</si>
  <si>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</si>
  <si>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</si>
  <si>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</si>
  <si>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</si>
  <si>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</si>
  <si>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</si>
  <si>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</si>
  <si>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</si>
  <si>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</si>
  <si>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</si>
  <si>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</si>
  <si>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</si>
  <si>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</si>
  <si>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</si>
  <si>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</si>
  <si>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</si>
  <si>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</si>
  <si>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</si>
  <si>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</si>
  <si>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</si>
  <si>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</si>
  <si>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</si>
  <si>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</si>
  <si>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</si>
  <si>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</si>
  <si>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</si>
  <si>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</si>
  <si>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</si>
  <si>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</si>
  <si>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</si>
  <si>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</si>
  <si>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</si>
  <si>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</si>
  <si>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</si>
  <si>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</si>
  <si>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</si>
  <si>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</si>
  <si>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</si>
  <si>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</si>
  <si>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</si>
  <si>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</si>
  <si>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</si>
  <si>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</si>
  <si>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</si>
  <si>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</si>
  <si>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</si>
  <si>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</si>
  <si>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</si>
  <si>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</si>
  <si>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</si>
  <si>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</si>
  <si>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</si>
  <si>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</si>
  <si>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</si>
  <si>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</si>
  <si>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</si>
  <si>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</si>
  <si>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</si>
  <si>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</si>
  <si>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</si>
  <si>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</si>
  <si>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</si>
  <si>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</si>
  <si>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</si>
  <si>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</si>
  <si>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</si>
  <si>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</si>
  <si>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</si>
  <si>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</si>
  <si>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</si>
  <si>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</si>
  <si>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</si>
  <si>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</si>
  <si>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</si>
  <si>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</si>
  <si>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</si>
  <si>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</si>
  <si>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</si>
  <si>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</si>
  <si>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</si>
  <si>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</si>
  <si>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</si>
  <si>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</si>
  <si>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</si>
  <si>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</si>
  <si>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</si>
  <si>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</si>
  <si>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</si>
  <si>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</si>
  <si>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</si>
  <si>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</si>
  <si>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</si>
  <si>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</si>
  <si>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</si>
  <si>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</si>
  <si>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</si>
  <si>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</si>
  <si>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</si>
  <si>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</si>
  <si>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</si>
  <si>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</si>
  <si>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</si>
  <si>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</si>
  <si>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</si>
  <si>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</si>
  <si>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</si>
  <si>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</si>
  <si>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</si>
  <si>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</si>
  <si>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</si>
  <si>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</si>
  <si>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</si>
  <si>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</si>
  <si>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</si>
  <si>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</si>
  <si>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</si>
  <si>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</si>
  <si>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</si>
  <si>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</si>
  <si>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</si>
  <si>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</si>
  <si>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</si>
  <si>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</si>
  <si>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</si>
  <si>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</si>
  <si>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</si>
  <si>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</si>
  <si>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</si>
  <si>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</si>
  <si>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</si>
  <si>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</si>
  <si>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</si>
  <si>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</si>
  <si>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</si>
  <si>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</si>
  <si>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</si>
  <si>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</si>
  <si>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</si>
  <si>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</si>
  <si>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</si>
  <si>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</si>
  <si>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</si>
  <si>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</si>
  <si>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</si>
  <si>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</si>
  <si>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</si>
  <si>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</si>
  <si>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</si>
  <si>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</si>
  <si>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</si>
  <si>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</si>
  <si>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</si>
  <si>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</si>
  <si>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</si>
  <si>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</si>
  <si>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</si>
  <si>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</si>
  <si>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</si>
  <si>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</si>
  <si>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</si>
  <si>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</si>
  <si>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</si>
  <si>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</si>
  <si>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</si>
  <si>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</si>
  <si>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</si>
  <si>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</si>
  <si>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</si>
  <si>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</si>
  <si>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</si>
  <si>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</si>
  <si>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</si>
  <si>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</si>
  <si>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</si>
  <si>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</si>
  <si>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</si>
  <si>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</si>
  <si>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</si>
  <si>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</si>
  <si>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</si>
  <si>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</si>
  <si>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</si>
  <si>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</si>
  <si>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</si>
  <si>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</si>
  <si>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</si>
  <si>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</si>
  <si>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</si>
  <si>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</si>
  <si>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</si>
  <si>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</si>
  <si>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</si>
  <si>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</si>
  <si>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</si>
  <si>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</si>
  <si>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</si>
  <si>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</si>
  <si>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</si>
  <si>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</si>
  <si>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</si>
  <si>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</si>
  <si>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</si>
  <si>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</si>
  <si>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</si>
  <si>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</si>
  <si>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</si>
  <si>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</si>
  <si>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</si>
  <si>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</si>
  <si>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</si>
  <si>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</si>
  <si>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</si>
  <si>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</si>
  <si>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</si>
  <si>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</si>
  <si>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</si>
  <si>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</si>
  <si>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</si>
  <si>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</si>
  <si>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</si>
  <si>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</si>
  <si>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</si>
  <si>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</si>
  <si>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</si>
  <si>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</si>
  <si>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</si>
  <si>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</si>
  <si>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</si>
  <si>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</si>
  <si>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</si>
  <si>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</si>
  <si>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</si>
  <si>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</si>
  <si>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</si>
  <si>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</si>
  <si>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</si>
  <si>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</si>
  <si>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</si>
  <si>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</si>
  <si>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</si>
  <si>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</si>
  <si>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</si>
  <si>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</si>
  <si>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</si>
  <si>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</si>
  <si>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</si>
  <si>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</si>
  <si>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</si>
  <si>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</si>
  <si>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</si>
  <si>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</si>
  <si>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</si>
  <si>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</si>
  <si>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</si>
  <si>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</si>
  <si>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</si>
  <si>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</si>
  <si>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</si>
  <si>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</si>
  <si>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</si>
  <si>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</si>
  <si>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</si>
  <si>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</si>
  <si>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</si>
  <si>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</si>
  <si>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</si>
  <si>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</si>
  <si>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</si>
  <si>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</si>
  <si>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</si>
  <si>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</si>
  <si>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</si>
  <si>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</si>
  <si>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</si>
  <si>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</si>
  <si>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</si>
  <si>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</si>
  <si>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</si>
  <si>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</si>
  <si>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</si>
  <si>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</si>
  <si>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</si>
  <si>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</si>
  <si>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</si>
  <si>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</si>
  <si>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</si>
  <si>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</si>
  <si>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</si>
  <si>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</si>
  <si>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</si>
  <si>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</si>
  <si>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</si>
  <si>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</si>
  <si>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</si>
  <si>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</si>
  <si>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</si>
  <si>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</si>
  <si>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</si>
  <si>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</si>
  <si>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</si>
  <si>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</si>
  <si>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</si>
  <si>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</si>
  <si>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</si>
  <si>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</si>
  <si>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</si>
  <si>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</si>
  <si>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</si>
  <si>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</si>
  <si>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</si>
  <si>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</si>
  <si>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</si>
  <si>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</si>
  <si>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</si>
  <si>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</si>
  <si>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</si>
  <si>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</si>
  <si>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</si>
  <si>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</si>
  <si>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</si>
  <si>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</si>
  <si>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</si>
  <si>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</si>
  <si>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</si>
  <si>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</si>
  <si>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</si>
  <si>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</si>
  <si>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</si>
  <si>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</si>
  <si>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</si>
  <si>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</si>
  <si>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</si>
  <si>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</si>
  <si>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</si>
  <si>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</si>
  <si>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</si>
  <si>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</si>
  <si>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</si>
  <si>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</si>
  <si>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</si>
  <si>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</si>
  <si>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</si>
  <si>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</si>
  <si>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</si>
  <si>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</si>
  <si>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</si>
  <si>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</si>
  <si>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</si>
  <si>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</si>
  <si>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</si>
  <si>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</si>
  <si>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</si>
  <si>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</si>
  <si>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</si>
  <si>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</si>
  <si>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</si>
  <si>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</si>
  <si>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</si>
  <si>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</si>
  <si>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</si>
  <si>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</si>
  <si>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</si>
  <si>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</si>
  <si>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</si>
  <si>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</si>
  <si>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</si>
  <si>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</si>
  <si>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</si>
  <si>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</si>
  <si>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</si>
  <si>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</si>
  <si>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</si>
  <si>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</si>
  <si>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</si>
  <si>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</si>
  <si>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</si>
  <si>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</si>
  <si>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</si>
  <si>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</si>
  <si>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</si>
  <si>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</si>
  <si>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</si>
  <si>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</si>
  <si>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</si>
  <si>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</si>
  <si>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</si>
  <si>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</si>
  <si>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</si>
  <si>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</si>
  <si>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</si>
  <si>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</si>
  <si>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</si>
  <si>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</si>
  <si>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</si>
  <si>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</si>
  <si>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</si>
  <si>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</si>
  <si>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</si>
  <si>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</si>
  <si>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</si>
  <si>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</si>
  <si>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</si>
  <si>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</si>
  <si>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</si>
  <si>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</si>
  <si>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</si>
  <si>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</si>
  <si>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</si>
  <si>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</si>
  <si>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</si>
  <si>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</si>
  <si>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</si>
  <si>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</si>
  <si>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</si>
  <si>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</si>
  <si>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</si>
  <si>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</si>
  <si>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</si>
  <si>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</si>
  <si>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</si>
  <si>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</si>
  <si>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</si>
  <si>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</si>
  <si>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</si>
  <si>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</si>
  <si>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</si>
  <si>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</si>
  <si>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</si>
  <si>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</si>
  <si>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</si>
  <si>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</si>
  <si>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</si>
  <si>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</si>
  <si>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</si>
  <si>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</si>
  <si>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</si>
  <si>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</si>
  <si>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</si>
  <si>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</si>
  <si>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</si>
  <si>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</si>
  <si>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</si>
  <si>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</si>
  <si>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</si>
  <si>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</si>
  <si>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</si>
  <si>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</si>
  <si>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</si>
  <si>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</si>
  <si>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</si>
  <si>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</si>
  <si>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</si>
  <si>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</si>
  <si>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</si>
  <si>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</si>
  <si>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</si>
  <si>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</si>
  <si>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</si>
  <si>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</si>
  <si>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</si>
  <si>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</si>
  <si>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</si>
  <si>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</si>
  <si>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</si>
  <si>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</si>
  <si>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</si>
  <si>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</si>
  <si>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</si>
  <si>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</si>
  <si>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</si>
  <si>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</si>
  <si>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</si>
  <si>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</si>
  <si>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</si>
  <si>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</si>
  <si>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</si>
  <si>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</si>
  <si>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</si>
  <si>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</si>
  <si>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</si>
  <si>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</si>
  <si>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</si>
  <si>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</si>
  <si>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</si>
  <si>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</si>
  <si>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</si>
  <si>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</si>
  <si>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</si>
  <si>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</si>
  <si>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</si>
  <si>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</si>
  <si>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</si>
  <si>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</si>
  <si>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</si>
  <si>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</si>
  <si>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</si>
  <si>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</si>
  <si>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</si>
  <si>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</si>
  <si>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</si>
  <si>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</si>
  <si>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</si>
  <si>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</si>
  <si>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</si>
  <si>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</si>
  <si>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</si>
  <si>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</si>
  <si>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</si>
  <si>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</si>
  <si>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</si>
  <si>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</si>
  <si>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</si>
  <si>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</si>
  <si>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</si>
  <si>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</si>
  <si>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</si>
  <si>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</si>
  <si>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</si>
  <si>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</si>
  <si>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</si>
  <si>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</si>
  <si>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</si>
  <si>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</si>
  <si>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</si>
  <si>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</si>
  <si>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</si>
  <si>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</si>
  <si>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</si>
  <si>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</si>
  <si>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</si>
  <si>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</si>
  <si>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</si>
  <si>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</si>
  <si>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</si>
  <si>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</si>
  <si>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</si>
  <si>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</si>
  <si>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</si>
  <si>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</si>
  <si>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</si>
  <si>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</si>
  <si>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</si>
  <si>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</si>
  <si>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</si>
  <si>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</si>
  <si>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</si>
  <si>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</si>
  <si>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</si>
  <si>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</si>
  <si>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</si>
  <si>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</si>
  <si>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</si>
  <si>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</si>
  <si>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</si>
  <si>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</si>
  <si>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</si>
  <si>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</si>
  <si>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</si>
  <si>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</si>
  <si>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</si>
  <si>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</si>
  <si>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</si>
  <si>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</si>
  <si>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</si>
  <si>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</si>
  <si>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</si>
  <si>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</si>
  <si>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</si>
  <si>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</si>
  <si>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</si>
  <si>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</si>
  <si>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</si>
  <si>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</si>
  <si>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</si>
  <si>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</si>
  <si>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</si>
  <si>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</si>
  <si>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</si>
  <si>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</si>
  <si>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</si>
  <si>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</si>
  <si>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</si>
  <si>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</si>
  <si>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</si>
  <si>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</si>
  <si>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</si>
  <si>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</si>
  <si>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</si>
  <si>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</si>
  <si>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</si>
  <si>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</si>
  <si>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</si>
  <si>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</si>
  <si>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</si>
  <si>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</si>
  <si>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</si>
  <si>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</si>
  <si>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</si>
  <si>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</si>
  <si>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</si>
  <si>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</si>
  <si>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</si>
  <si>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</si>
  <si>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</si>
  <si>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</si>
  <si>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</si>
  <si>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</si>
  <si>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</si>
  <si>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</si>
  <si>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</si>
  <si>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</si>
  <si>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</si>
  <si>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</si>
  <si>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</si>
  <si>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</si>
  <si>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</si>
  <si>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</si>
  <si>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</si>
  <si>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</si>
  <si>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</si>
  <si>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</si>
  <si>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</si>
  <si>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</si>
  <si>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</si>
  <si>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</si>
  <si>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</si>
  <si>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</si>
  <si>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</si>
  <si>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</si>
  <si>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</si>
  <si>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</si>
  <si>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</si>
  <si>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</si>
  <si>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</si>
  <si>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</si>
  <si>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</si>
  <si>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</si>
  <si>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</si>
  <si>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</si>
  <si>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</si>
  <si>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</si>
  <si>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</si>
  <si>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</si>
  <si>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</si>
  <si>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</si>
  <si>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</si>
  <si>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</si>
  <si>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</si>
  <si>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</si>
  <si>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</si>
  <si>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</si>
  <si>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</si>
  <si>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</si>
  <si>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</si>
  <si>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</si>
  <si>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</si>
  <si>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</si>
  <si>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</si>
  <si>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</si>
  <si>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</si>
  <si>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</si>
  <si>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</si>
  <si>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</si>
  <si>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</si>
  <si>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</si>
  <si>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</si>
  <si>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</si>
  <si>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</si>
  <si>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</si>
  <si>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</si>
  <si>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</si>
  <si>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</si>
  <si>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</si>
  <si>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</si>
  <si>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</si>
  <si>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</si>
  <si>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</si>
  <si>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</si>
  <si>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</si>
  <si>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</si>
  <si>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</si>
  <si>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</si>
  <si>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</si>
  <si>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</si>
  <si>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</si>
  <si>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</si>
  <si>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</si>
  <si>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</si>
  <si>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</si>
  <si>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</si>
  <si>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</si>
  <si>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</si>
  <si>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</si>
  <si>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</si>
  <si>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</si>
  <si>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</si>
  <si>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</si>
  <si>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</si>
  <si>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</si>
  <si>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</si>
  <si>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</si>
  <si>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</si>
  <si>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</si>
  <si>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</si>
  <si>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</si>
  <si>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</si>
  <si>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</si>
  <si>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</si>
  <si>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</si>
  <si>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</si>
  <si>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</si>
  <si>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</si>
  <si>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</si>
  <si>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</si>
  <si>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</si>
  <si>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</si>
  <si>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</si>
  <si>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</si>
  <si>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</si>
  <si>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</si>
  <si>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</si>
  <si>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</si>
  <si>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</si>
  <si>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</si>
  <si>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</si>
  <si>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</si>
  <si>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</si>
  <si>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</si>
  <si>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</si>
  <si>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</si>
  <si>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</si>
  <si>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</si>
  <si>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</si>
  <si>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</si>
  <si>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</si>
  <si>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</si>
  <si>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</si>
  <si>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</si>
  <si>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</si>
  <si>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</si>
  <si>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</si>
  <si>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</si>
  <si>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</si>
  <si>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</si>
  <si>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</si>
  <si>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</si>
  <si>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</si>
  <si>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</si>
  <si>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</si>
  <si>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</si>
  <si>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</si>
  <si>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</si>
  <si>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</si>
  <si>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</si>
  <si>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</si>
  <si>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</si>
  <si>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</si>
  <si>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</si>
  <si>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</si>
  <si>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</si>
  <si>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</si>
  <si>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</si>
  <si>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</si>
  <si>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</si>
  <si>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</si>
  <si>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</si>
  <si>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</si>
  <si>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</si>
  <si>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</si>
  <si>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</si>
  <si>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</si>
  <si>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</si>
  <si>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</si>
  <si>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</si>
  <si>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</si>
  <si>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</si>
  <si>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</si>
  <si>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</si>
  <si>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</si>
  <si>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</si>
  <si>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</si>
  <si>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</si>
  <si>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</si>
  <si>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</si>
  <si>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</si>
  <si>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</si>
  <si>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</si>
  <si>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</si>
  <si>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</si>
  <si>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</si>
  <si>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</si>
  <si>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</si>
  <si>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</si>
  <si>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</si>
  <si>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</si>
  <si>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</si>
  <si>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</si>
  <si>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</si>
  <si>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</si>
  <si>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</si>
  <si>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</si>
  <si>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</si>
  <si>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</si>
  <si>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</si>
  <si>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</si>
  <si>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</si>
  <si>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</si>
  <si>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</si>
  <si>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</si>
  <si>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</si>
  <si>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</si>
  <si>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</si>
  <si>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</si>
  <si>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</si>
  <si>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</si>
  <si>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</si>
  <si>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</si>
  <si>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</si>
  <si>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</si>
  <si>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</si>
  <si>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</si>
  <si>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</si>
  <si>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</si>
  <si>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</si>
  <si>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</si>
  <si>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</si>
  <si>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</si>
  <si>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</si>
  <si>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</si>
  <si>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</si>
  <si>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</si>
  <si>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</si>
  <si>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</si>
  <si>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</si>
  <si>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</si>
  <si>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</si>
  <si>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</si>
  <si>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</si>
  <si>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</si>
  <si>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</si>
  <si>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</si>
  <si>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</si>
  <si>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</si>
  <si>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</si>
  <si>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</si>
  <si>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</si>
  <si>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</si>
  <si>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</si>
  <si>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</si>
  <si>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</si>
  <si>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</si>
  <si>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</si>
  <si>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</si>
  <si>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</si>
  <si>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</si>
  <si>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</si>
  <si>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</si>
  <si>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</si>
  <si>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</si>
  <si>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</si>
  <si>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</si>
  <si>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</si>
  <si>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</si>
  <si>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</si>
  <si>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</si>
  <si>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</si>
  <si>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</si>
  <si>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</si>
  <si>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</si>
  <si>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</si>
  <si>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</si>
  <si>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</si>
  <si>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</si>
  <si>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</si>
  <si>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</si>
  <si>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</si>
  <si>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</si>
  <si>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</si>
  <si>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</si>
  <si>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</si>
  <si>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</si>
  <si>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</si>
  <si>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</si>
  <si>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</si>
  <si>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</si>
  <si>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</si>
  <si>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</si>
  <si>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</si>
  <si>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</si>
  <si>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</si>
  <si>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</si>
  <si>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</si>
  <si>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</si>
  <si>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</si>
  <si>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</si>
  <si>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</si>
  <si>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</si>
  <si>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</si>
  <si>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</si>
  <si>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</si>
  <si>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</si>
  <si>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</si>
  <si>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</si>
  <si>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</si>
  <si>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</si>
  <si>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</si>
  <si>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</si>
  <si>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</si>
  <si>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</si>
  <si>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</si>
  <si>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</si>
  <si>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</si>
  <si>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</si>
  <si>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</si>
  <si>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</si>
  <si>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</si>
  <si>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</si>
  <si>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</si>
  <si>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</si>
  <si>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</si>
  <si>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</si>
  <si>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</si>
  <si>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</si>
  <si>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</si>
  <si>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</si>
  <si>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</si>
  <si>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</si>
  <si>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</si>
  <si>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</si>
  <si>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</si>
  <si>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</si>
  <si>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</si>
  <si>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</si>
  <si>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</si>
  <si>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</si>
  <si>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</si>
  <si>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</si>
  <si>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</si>
  <si>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</si>
  <si>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</si>
  <si>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</si>
  <si>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</si>
  <si>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</si>
  <si>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</si>
  <si>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</si>
  <si>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</si>
  <si>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</si>
  <si>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</si>
  <si>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</si>
  <si>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</si>
  <si>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</si>
  <si>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</si>
  <si>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</si>
  <si>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</si>
  <si>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</si>
  <si>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</si>
  <si>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</si>
  <si>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</si>
  <si>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</si>
  <si>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</si>
  <si>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</si>
  <si>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</si>
  <si>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</si>
  <si>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</si>
  <si>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</si>
  <si>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</si>
  <si>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</si>
  <si>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</si>
  <si>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</si>
  <si>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</si>
  <si>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</si>
  <si>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</si>
  <si>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</si>
  <si>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</si>
  <si>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</si>
  <si>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</si>
  <si>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</si>
  <si>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</si>
  <si>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</si>
  <si>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</si>
  <si>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</si>
  <si>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</si>
  <si>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</si>
  <si>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</si>
  <si>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</si>
  <si>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</si>
  <si>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</si>
  <si>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</si>
  <si>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</si>
  <si>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</si>
  <si>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</si>
  <si>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</si>
  <si>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</si>
  <si>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</si>
  <si>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</si>
  <si>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</si>
  <si>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</si>
  <si>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</si>
  <si>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</si>
  <si>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</si>
  <si>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</si>
  <si>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</si>
  <si>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</si>
  <si>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</si>
  <si>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</si>
  <si>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</si>
  <si>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</si>
  <si>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</si>
  <si>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</si>
  <si>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</si>
  <si>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</si>
  <si>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</si>
  <si>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</si>
  <si>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</si>
  <si>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</si>
  <si>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</si>
  <si>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</si>
  <si>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</si>
  <si>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</si>
  <si>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</si>
  <si>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</si>
  <si>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</si>
  <si>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</si>
  <si>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</si>
  <si>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</si>
  <si>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</si>
  <si>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</si>
  <si>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</si>
  <si>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</si>
  <si>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</si>
  <si>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</si>
  <si>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</si>
  <si>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</si>
  <si>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</si>
  <si>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</si>
  <si>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</si>
  <si>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</si>
  <si>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</si>
  <si>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</si>
  <si>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</si>
  <si>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</si>
  <si>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</si>
  <si>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</si>
  <si>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</si>
  <si>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</si>
  <si>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</si>
  <si>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</si>
  <si>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</si>
  <si>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</si>
  <si>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</si>
  <si>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</si>
  <si>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</si>
  <si>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</si>
  <si>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</si>
  <si>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</si>
  <si>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</si>
  <si>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</si>
  <si>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</si>
  <si>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</si>
  <si>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</si>
  <si>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</si>
  <si>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</si>
  <si>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</si>
  <si>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</si>
  <si>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</si>
  <si>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</si>
  <si>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</si>
  <si>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</si>
  <si>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</si>
  <si>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</si>
  <si>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</si>
  <si>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</si>
  <si>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</si>
  <si>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</si>
  <si>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</si>
  <si>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</si>
  <si>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</si>
  <si>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</si>
  <si>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</si>
  <si>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</si>
  <si>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</si>
  <si>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</si>
  <si>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</si>
  <si>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</si>
  <si>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</si>
  <si>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</si>
  <si>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</si>
  <si>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</si>
  <si>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</si>
  <si>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</si>
  <si>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</si>
  <si>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</si>
  <si>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</si>
  <si>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</si>
  <si>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</si>
  <si>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</si>
  <si>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</si>
  <si>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</si>
  <si>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</si>
  <si>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</si>
  <si>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</si>
  <si>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</si>
  <si>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</si>
  <si>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</si>
  <si>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</si>
  <si>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</si>
  <si>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</si>
  <si>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</si>
  <si>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</si>
  <si>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</si>
  <si>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</si>
  <si>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</si>
  <si>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</si>
  <si>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</si>
  <si>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</si>
  <si>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</si>
  <si>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</si>
  <si>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</si>
  <si>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</si>
  <si>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</si>
  <si>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</si>
  <si>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</si>
  <si>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</si>
  <si>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</si>
  <si>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</si>
  <si>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</si>
  <si>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</si>
  <si>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</si>
  <si>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</si>
  <si>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</si>
  <si>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</si>
  <si>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</si>
  <si>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</si>
  <si>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</si>
  <si>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</si>
  <si>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</si>
  <si>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</si>
  <si>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</si>
  <si>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</si>
  <si>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</si>
  <si>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</si>
  <si>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</si>
  <si>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</si>
  <si>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</si>
  <si>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</si>
  <si>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</si>
  <si>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</si>
  <si>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</si>
  <si>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</si>
  <si>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</si>
  <si>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</si>
  <si>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</si>
  <si>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</si>
  <si>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</si>
  <si>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</si>
  <si>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</si>
  <si>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</si>
  <si>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</si>
  <si>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</si>
  <si>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</si>
  <si>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</si>
  <si>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</si>
  <si>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</si>
  <si>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</si>
  <si>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</si>
  <si>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</si>
  <si>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</si>
  <si>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</si>
  <si>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</si>
  <si>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</si>
  <si>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</si>
  <si>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</si>
  <si>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</si>
  <si>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</si>
  <si>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</si>
  <si>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</si>
  <si>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</si>
  <si>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</si>
  <si>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</si>
  <si>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</si>
  <si>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</si>
  <si>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</si>
  <si>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</si>
  <si>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</si>
  <si>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</si>
  <si>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</si>
  <si>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</si>
  <si>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</si>
  <si>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</si>
  <si>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</si>
  <si>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</si>
  <si>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</si>
  <si>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</si>
  <si>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</si>
  <si>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</si>
  <si>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</si>
  <si>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</si>
  <si>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</si>
  <si>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</si>
  <si>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</si>
  <si>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</si>
  <si>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</si>
  <si>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</si>
  <si>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</si>
  <si>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</si>
  <si>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</si>
  <si>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</si>
  <si>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</si>
  <si>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</si>
  <si>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</si>
  <si>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</si>
  <si>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</si>
  <si>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</si>
  <si>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</si>
  <si>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</si>
  <si>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</si>
  <si>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</si>
  <si>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</si>
  <si>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</si>
  <si>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</si>
  <si>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</si>
  <si>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</si>
  <si>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</si>
  <si>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</si>
  <si>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</si>
  <si>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</si>
  <si>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</si>
  <si>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</si>
  <si>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</si>
  <si>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</si>
  <si>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</si>
  <si>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</si>
  <si>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</si>
  <si>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</si>
  <si>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</si>
  <si>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</si>
  <si>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</si>
  <si>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</si>
  <si>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</si>
  <si>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</si>
  <si>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</si>
  <si>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</si>
  <si>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</si>
  <si>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</si>
  <si>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</si>
  <si>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</si>
  <si>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</si>
  <si>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</si>
  <si>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</si>
  <si>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</si>
  <si>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</si>
  <si>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</si>
  <si>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</si>
  <si>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</si>
  <si>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</si>
  <si>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</si>
  <si>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</si>
  <si>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</si>
  <si>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</si>
  <si>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</si>
  <si>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</si>
  <si>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</si>
  <si>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</si>
  <si>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</si>
  <si>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</si>
  <si>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</si>
  <si>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</si>
  <si>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</si>
  <si>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</si>
  <si>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</si>
  <si>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</si>
  <si>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</si>
  <si>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</si>
  <si>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</si>
  <si>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</si>
  <si>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</si>
  <si>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</si>
  <si>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</si>
  <si>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</si>
  <si>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</si>
  <si>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</si>
  <si>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</si>
  <si>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</si>
  <si>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</si>
  <si>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</si>
  <si>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</si>
  <si>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</si>
  <si>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</si>
  <si>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</si>
  <si>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</si>
  <si>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</si>
  <si>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</si>
  <si>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</si>
  <si>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</si>
  <si>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</si>
  <si>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</si>
  <si>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</si>
  <si>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</si>
  <si>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</si>
  <si>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</si>
  <si>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</si>
  <si>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</si>
  <si>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</si>
  <si>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</si>
  <si>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</si>
  <si>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</si>
  <si>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</si>
  <si>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</si>
  <si>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</si>
  <si>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</si>
  <si>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</si>
  <si>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</si>
  <si>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</si>
  <si>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</si>
  <si>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</si>
  <si>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</si>
  <si>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</si>
  <si>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</si>
  <si>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</si>
  <si>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</si>
  <si>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</si>
  <si>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</si>
  <si>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</si>
  <si>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</si>
  <si>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</si>
  <si>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</si>
  <si>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</si>
  <si>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</si>
  <si>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</si>
  <si>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</si>
  <si>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</si>
  <si>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</si>
  <si>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</si>
  <si>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</si>
  <si>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</si>
  <si>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</si>
  <si>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</si>
  <si>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</si>
  <si>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</si>
  <si>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</si>
  <si>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</si>
  <si>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</si>
  <si>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</si>
  <si>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</si>
  <si>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</si>
  <si>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</si>
  <si>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</si>
  <si>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</si>
  <si>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</si>
  <si>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</si>
  <si>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</si>
  <si>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</si>
  <si>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</si>
  <si>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</si>
  <si>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</si>
  <si>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</si>
  <si>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</si>
  <si>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</si>
  <si>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</si>
  <si>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</si>
  <si>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</si>
  <si>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</si>
  <si>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</si>
  <si>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</si>
  <si>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</si>
  <si>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</si>
  <si>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</si>
  <si>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</si>
  <si>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</si>
  <si>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</si>
  <si>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</si>
  <si>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</si>
  <si>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</si>
  <si>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</si>
  <si>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</si>
  <si>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</si>
  <si>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</si>
  <si>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</si>
  <si>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</si>
  <si>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</si>
  <si>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</si>
  <si>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</si>
  <si>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</si>
  <si>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</si>
  <si>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</si>
  <si>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</si>
  <si>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</si>
  <si>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</si>
  <si>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</si>
  <si>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</si>
  <si>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</si>
  <si>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</si>
  <si>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</si>
  <si>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</si>
  <si>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</si>
  <si>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</si>
  <si>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</si>
  <si>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</si>
  <si>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</si>
  <si>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</si>
  <si>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</si>
  <si>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</si>
  <si>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</si>
  <si>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</si>
  <si>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</si>
  <si>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</si>
  <si>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</si>
  <si>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</si>
  <si>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</si>
  <si>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</si>
  <si>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</si>
  <si>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</si>
  <si>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</si>
  <si>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</si>
  <si>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</si>
  <si>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</si>
  <si>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</si>
  <si>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</si>
  <si>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</si>
  <si>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</si>
  <si>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</si>
  <si>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</si>
  <si>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</si>
  <si>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</si>
  <si>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</si>
  <si>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</si>
  <si>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</si>
  <si>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</si>
  <si>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</si>
  <si>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</si>
  <si>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</si>
  <si>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</si>
  <si>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</si>
  <si>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</si>
  <si>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</si>
  <si>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</si>
  <si>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</si>
  <si>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</si>
  <si>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</si>
  <si>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</si>
  <si>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</si>
  <si>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</si>
  <si>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</si>
  <si>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</si>
  <si>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</si>
  <si>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</si>
  <si>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</si>
  <si>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</si>
  <si>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</si>
  <si>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</si>
  <si>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</si>
  <si>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</si>
  <si>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</si>
  <si>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</si>
  <si>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</si>
  <si>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</si>
  <si>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</si>
  <si>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</si>
  <si>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</si>
  <si>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</si>
  <si>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</si>
  <si>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</si>
  <si>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</si>
  <si>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</si>
  <si>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</si>
  <si>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</si>
  <si>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</si>
  <si>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</si>
  <si>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</si>
  <si>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</si>
  <si>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</si>
  <si>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</si>
  <si>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</si>
  <si>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</si>
  <si>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</si>
  <si>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</si>
  <si>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</si>
  <si>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</si>
  <si>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</si>
  <si>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</si>
  <si>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</si>
  <si>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</si>
  <si>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</si>
  <si>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</si>
  <si>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</si>
  <si>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</si>
  <si>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</si>
  <si>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</si>
  <si>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</si>
  <si>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</si>
  <si>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</si>
  <si>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</si>
  <si>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</si>
  <si>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</si>
  <si>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</si>
  <si>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</si>
  <si>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</si>
  <si>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</si>
  <si>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</si>
  <si>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</si>
  <si>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</si>
  <si>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</si>
  <si>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</si>
  <si>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</si>
  <si>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</si>
  <si>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</si>
  <si>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</si>
  <si>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</si>
  <si>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</si>
  <si>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</si>
  <si>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</si>
  <si>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</si>
  <si>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</si>
  <si>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</si>
  <si>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</si>
  <si>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</si>
  <si>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</si>
  <si>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</si>
  <si>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</si>
  <si>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</si>
  <si>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</si>
  <si>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</si>
  <si>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</si>
  <si>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</si>
  <si>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</si>
  <si>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</si>
  <si>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</si>
  <si>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</si>
  <si>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</si>
  <si>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</si>
  <si>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</si>
  <si>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</si>
  <si>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</si>
  <si>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</si>
  <si>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</si>
  <si>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</si>
  <si>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</si>
  <si>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</si>
  <si>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</si>
  <si>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</si>
  <si>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</si>
  <si>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</si>
  <si>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</si>
  <si>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</si>
  <si>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</si>
  <si>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</si>
  <si>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</si>
  <si>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</si>
  <si>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</si>
  <si>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</si>
  <si>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</si>
  <si>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</si>
  <si>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</si>
  <si>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</si>
  <si>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</si>
  <si>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</si>
  <si>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</si>
  <si>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</si>
  <si>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</si>
  <si>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</si>
  <si>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</si>
  <si>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</si>
  <si>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</si>
  <si>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</si>
  <si>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</si>
  <si>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</si>
  <si>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</si>
  <si>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</si>
  <si>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</si>
  <si>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</si>
  <si>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</si>
  <si>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</si>
  <si>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</si>
  <si>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</si>
  <si>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</si>
  <si>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</si>
  <si>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</si>
  <si>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</si>
  <si>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</si>
  <si>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</si>
  <si>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</si>
  <si>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</si>
  <si>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</si>
  <si>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</si>
  <si>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</si>
  <si>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</si>
  <si>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</si>
  <si>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</si>
  <si>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</si>
  <si>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</si>
  <si>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</si>
  <si>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</si>
  <si>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</si>
  <si>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</si>
  <si>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</si>
  <si>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</si>
  <si>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</si>
  <si>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</si>
  <si>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</si>
  <si>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</si>
  <si>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</si>
  <si>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</si>
  <si>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</si>
  <si>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</si>
  <si>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</si>
  <si>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</si>
  <si>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</si>
  <si>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</si>
  <si>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</si>
  <si>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</si>
  <si>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</si>
  <si>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</si>
  <si>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</si>
  <si>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</si>
  <si>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</si>
  <si>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</si>
  <si>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</si>
  <si>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</si>
  <si>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</si>
  <si>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</si>
  <si>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</si>
  <si>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</si>
  <si>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</si>
  <si>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</si>
  <si>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</si>
  <si>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</si>
  <si>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</si>
  <si>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</si>
  <si>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</si>
  <si>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</si>
  <si>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</si>
  <si>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</si>
  <si>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</si>
  <si>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</si>
  <si>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</si>
  <si>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</si>
  <si>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</si>
  <si>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</si>
  <si>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</si>
  <si>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</si>
  <si>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</si>
  <si>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</si>
  <si>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</si>
  <si>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</si>
  <si>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</si>
  <si>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</si>
  <si>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</si>
  <si>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</si>
  <si>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</si>
  <si>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</si>
  <si>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</si>
  <si>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</si>
  <si>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</si>
  <si>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</si>
  <si>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</si>
  <si>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</si>
  <si>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</si>
  <si>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</si>
  <si>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</si>
  <si>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</si>
  <si>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</si>
  <si>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</si>
  <si>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</si>
  <si>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</si>
  <si>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</si>
  <si>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</si>
  <si>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</si>
  <si>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</si>
  <si>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</si>
  <si>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</si>
  <si>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</si>
  <si>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</si>
  <si>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</si>
  <si>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</si>
  <si>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</si>
  <si>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</si>
  <si>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</si>
  <si>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</si>
  <si>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</si>
  <si>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</si>
  <si>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</si>
  <si>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</si>
  <si>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</si>
  <si>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</si>
  <si>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</si>
  <si>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</si>
  <si>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</si>
  <si>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</si>
  <si>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</si>
  <si>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</si>
  <si>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</si>
  <si>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</si>
  <si>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</si>
  <si>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</si>
  <si>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</si>
  <si>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</si>
  <si>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</si>
  <si>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</si>
  <si>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</si>
  <si>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</si>
  <si>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</si>
  <si>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</si>
  <si>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</si>
  <si>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</si>
  <si>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</si>
  <si>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</si>
  <si>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</si>
  <si>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</si>
  <si>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</si>
  <si>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</si>
  <si>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</si>
  <si>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</si>
  <si>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</si>
  <si>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</si>
  <si>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</si>
  <si>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</si>
  <si>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</si>
  <si>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</si>
  <si>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</si>
  <si>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</si>
  <si>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</si>
  <si>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</si>
  <si>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</si>
  <si>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</si>
  <si>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</si>
  <si>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</si>
  <si>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</si>
  <si>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</si>
  <si>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</si>
  <si>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</si>
  <si>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</si>
  <si>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</si>
  <si>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</si>
  <si>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</si>
  <si>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</si>
  <si>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</si>
  <si>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</si>
  <si>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</si>
  <si>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</si>
  <si>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</si>
  <si>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</si>
  <si>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</si>
  <si>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</si>
  <si>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</si>
  <si>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</si>
  <si>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</si>
  <si>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</si>
  <si>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</si>
  <si>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</si>
  <si>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</si>
  <si>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</si>
  <si>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</si>
  <si>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</si>
  <si>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</si>
  <si>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</si>
  <si>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</si>
  <si>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</si>
  <si>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</si>
  <si>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</si>
  <si>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</si>
  <si>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</si>
  <si>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</si>
  <si>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</si>
  <si>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</si>
  <si>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</si>
  <si>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</si>
  <si>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</si>
  <si>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</si>
  <si>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</si>
  <si>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</si>
  <si>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</si>
  <si>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</si>
  <si>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</si>
  <si>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</si>
  <si>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</si>
  <si>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</si>
  <si>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</si>
  <si>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</si>
  <si>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</si>
  <si>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</si>
  <si>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</si>
  <si>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</si>
  <si>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</si>
  <si>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</si>
  <si>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</si>
  <si>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</si>
  <si>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</si>
  <si>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</si>
  <si>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</si>
  <si>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</si>
  <si>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</si>
  <si>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</si>
  <si>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</si>
  <si>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</si>
  <si>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</si>
  <si>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</si>
  <si>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</si>
  <si>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</si>
  <si>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</si>
  <si>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</si>
  <si>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</si>
  <si>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</si>
  <si>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</si>
  <si>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</si>
  <si>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</si>
  <si>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</si>
  <si>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</si>
  <si>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</si>
  <si>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</si>
  <si>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</si>
  <si>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</si>
  <si>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</si>
  <si>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</si>
  <si>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</si>
  <si>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</si>
  <si>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</si>
  <si>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</si>
  <si>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</si>
  <si>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</si>
  <si>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</si>
  <si>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</si>
  <si>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</si>
  <si>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</si>
  <si>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</si>
  <si>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</si>
  <si>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</si>
  <si>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</si>
  <si>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</si>
  <si>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</si>
  <si>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</si>
  <si>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</si>
  <si>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</si>
  <si>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</si>
  <si>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</si>
  <si>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</si>
  <si>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</si>
  <si>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</si>
  <si>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</si>
  <si>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</si>
  <si>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</si>
  <si>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</si>
  <si>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</si>
  <si>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</si>
  <si>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</si>
  <si>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</si>
  <si>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</si>
  <si>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</si>
  <si>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</si>
  <si>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</si>
  <si>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</si>
  <si>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</si>
  <si>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</si>
  <si>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</si>
  <si>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</si>
  <si>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</si>
  <si>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</si>
  <si>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</si>
  <si>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</si>
  <si>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</si>
  <si>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</si>
  <si>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</si>
  <si>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</si>
  <si>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</si>
  <si>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</si>
  <si>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</si>
  <si>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</si>
  <si>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</si>
  <si>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</si>
  <si>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</si>
  <si>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</si>
  <si>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</si>
  <si>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</si>
  <si>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</si>
  <si>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</si>
  <si>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</si>
  <si>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</si>
  <si>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</si>
  <si>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</si>
  <si>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</si>
  <si>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</si>
  <si>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</si>
  <si>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</si>
  <si>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</si>
  <si>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</si>
  <si>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</si>
  <si>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</si>
  <si>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</si>
  <si>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</si>
  <si>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</si>
  <si>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</si>
  <si>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</si>
  <si>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</si>
  <si>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</si>
  <si>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</si>
  <si>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</si>
  <si>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</si>
  <si>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</si>
  <si>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</si>
  <si>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</si>
  <si>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</si>
  <si>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</si>
  <si>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</si>
  <si>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</si>
  <si>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</si>
  <si>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</si>
  <si>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</si>
  <si>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</si>
  <si>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</si>
  <si>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</si>
  <si>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</si>
  <si>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</si>
  <si>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</si>
  <si>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</si>
  <si>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</si>
  <si>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</si>
  <si>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</si>
  <si>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</si>
  <si>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</si>
  <si>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</si>
  <si>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</si>
  <si>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</si>
  <si>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</si>
  <si>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</si>
  <si>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</si>
  <si>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</si>
  <si>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</si>
  <si>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</si>
  <si>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</si>
  <si>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</si>
  <si>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</si>
  <si>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</si>
  <si>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</si>
  <si>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</si>
  <si>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</si>
  <si>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</si>
  <si>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</si>
  <si>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</si>
  <si>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</si>
  <si>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</si>
  <si>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</si>
  <si>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</si>
  <si>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</si>
  <si>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</si>
  <si>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</si>
  <si>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</si>
  <si>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</si>
  <si>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</si>
  <si>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</si>
  <si>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</si>
  <si>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</si>
  <si>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</si>
  <si>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</si>
  <si>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</si>
  <si>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</si>
  <si>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</si>
  <si>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</si>
  <si>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</si>
  <si>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</si>
  <si>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</si>
  <si>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</si>
  <si>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</si>
  <si>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</si>
  <si>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</si>
  <si>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</si>
  <si>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</si>
  <si>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</si>
  <si>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</si>
  <si>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</si>
  <si>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</si>
  <si>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</si>
  <si>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</si>
  <si>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</si>
  <si>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</si>
  <si>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</si>
  <si>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</si>
  <si>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</si>
  <si>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</si>
  <si>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</si>
  <si>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</si>
  <si>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</si>
  <si>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</si>
  <si>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</si>
  <si>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</si>
  <si>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</si>
  <si>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</si>
  <si>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</si>
  <si>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</si>
  <si>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</si>
  <si>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</si>
  <si>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</si>
  <si>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</si>
  <si>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</si>
  <si>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</si>
  <si>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</si>
  <si>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</si>
  <si>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</si>
  <si>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</si>
  <si>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</si>
  <si>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</si>
  <si>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</si>
  <si>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</si>
  <si>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</si>
  <si>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</si>
  <si>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</si>
  <si>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</si>
  <si>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</si>
  <si>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</si>
  <si>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</si>
  <si>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</si>
  <si>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</si>
  <si>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</si>
  <si>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</si>
  <si>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</si>
  <si>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</si>
  <si>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</si>
  <si>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</si>
  <si>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</si>
  <si>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</si>
  <si>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</si>
  <si>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</si>
  <si>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</si>
  <si>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</si>
  <si>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</si>
  <si>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</si>
  <si>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</si>
  <si>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</si>
  <si>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</si>
  <si>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</si>
  <si>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</si>
  <si>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</si>
  <si>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</si>
  <si>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</si>
  <si>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</si>
  <si>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</si>
  <si>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</si>
  <si>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</si>
  <si>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</si>
  <si>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</si>
  <si>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</si>
  <si>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</si>
  <si>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</si>
  <si>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</si>
  <si>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</si>
  <si>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</si>
  <si>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</si>
  <si>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</si>
  <si>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</si>
  <si>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</si>
  <si>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</si>
  <si>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</si>
  <si>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</si>
  <si>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</si>
  <si>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</si>
  <si>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</si>
  <si>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</si>
  <si>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</si>
  <si>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</si>
  <si>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</si>
  <si>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</si>
  <si>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</si>
  <si>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</si>
  <si>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</si>
  <si>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</si>
  <si>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</si>
  <si>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</si>
  <si>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</si>
  <si>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</si>
  <si>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</si>
  <si>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</si>
  <si>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</si>
  <si>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</si>
  <si>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</si>
  <si>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</si>
  <si>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</si>
  <si>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</si>
  <si>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</si>
  <si>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</si>
  <si>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</si>
  <si>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</si>
  <si>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</si>
  <si>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</si>
  <si>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</si>
  <si>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</si>
  <si>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</si>
  <si>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</si>
  <si>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</si>
  <si>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</si>
  <si>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</si>
  <si>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</si>
  <si>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</si>
  <si>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</si>
  <si>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</si>
  <si>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</si>
  <si>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</si>
  <si>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</si>
  <si>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</si>
  <si>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</si>
  <si>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</si>
  <si>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</si>
  <si>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</si>
  <si>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</si>
  <si>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</si>
  <si>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</si>
  <si>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</si>
  <si>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</si>
  <si>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</si>
  <si>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</si>
  <si>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</si>
  <si>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</si>
  <si>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</si>
  <si>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</si>
  <si>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</si>
  <si>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</si>
  <si>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</si>
  <si>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</si>
  <si>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</si>
  <si>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</si>
  <si>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</si>
  <si>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</si>
  <si>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</si>
  <si>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</si>
  <si>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</si>
  <si>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</si>
  <si>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</si>
  <si>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</si>
  <si>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</si>
  <si>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</si>
  <si>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</si>
  <si>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</si>
  <si>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</si>
  <si>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</si>
  <si>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</si>
  <si>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</si>
  <si>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</si>
  <si>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</si>
  <si>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</si>
  <si>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</si>
  <si>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</si>
  <si>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</si>
  <si>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</si>
  <si>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</si>
  <si>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</si>
  <si>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</si>
  <si>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</si>
  <si>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</si>
  <si>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</si>
  <si>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</si>
  <si>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</si>
  <si>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</si>
  <si>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</si>
  <si>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</si>
  <si>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</si>
  <si>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</si>
  <si>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</si>
  <si>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</si>
  <si>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</si>
  <si>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</si>
  <si>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</si>
  <si>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</si>
  <si>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</si>
  <si>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</si>
  <si>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</si>
  <si>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</si>
  <si>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</si>
  <si>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</si>
  <si>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</si>
  <si>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</si>
  <si>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</si>
  <si>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</si>
  <si>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</si>
  <si>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</si>
  <si>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</si>
  <si>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</si>
  <si>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</si>
  <si>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</si>
  <si>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</si>
  <si>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</si>
  <si>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</si>
  <si>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</si>
  <si>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</si>
  <si>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</si>
  <si>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</si>
  <si>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</si>
  <si>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</si>
  <si>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</si>
  <si>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</si>
  <si>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</si>
  <si>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</si>
  <si>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</si>
  <si>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</si>
  <si>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</si>
  <si>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</si>
  <si>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</si>
  <si>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</si>
  <si>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</si>
  <si>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</si>
  <si>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</si>
  <si>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</si>
  <si>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</si>
  <si>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</si>
  <si>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</si>
  <si>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</si>
  <si>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</si>
  <si>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</si>
  <si>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</si>
  <si>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</si>
  <si>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</si>
  <si>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</si>
  <si>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</si>
  <si>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</si>
  <si>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</si>
  <si>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</si>
  <si>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</si>
  <si>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</si>
  <si>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</si>
  <si>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</si>
  <si>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</si>
  <si>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</si>
  <si>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</si>
  <si>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</si>
  <si>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</si>
  <si>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</si>
  <si>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</si>
  <si>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</si>
  <si>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</si>
  <si>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</si>
  <si>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</si>
  <si>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</si>
  <si>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</si>
  <si>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</si>
  <si>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</si>
  <si>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</si>
  <si>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</si>
  <si>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</si>
  <si>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</si>
  <si>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</si>
  <si>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</si>
  <si>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</si>
  <si>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</si>
  <si>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</si>
  <si>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</si>
  <si>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</si>
  <si>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</si>
  <si>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</si>
  <si>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</si>
  <si>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</si>
  <si>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</si>
  <si>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</si>
  <si>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</si>
  <si>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</si>
  <si>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</si>
  <si>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</si>
  <si>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</si>
  <si>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</si>
  <si>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</si>
  <si>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</si>
  <si>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</si>
  <si>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</si>
  <si>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</si>
  <si>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</si>
  <si>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</si>
  <si>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</si>
  <si>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</si>
  <si>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</si>
  <si>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</si>
  <si>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</si>
  <si>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</si>
  <si>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</si>
  <si>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</si>
  <si>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</si>
  <si>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</si>
  <si>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</si>
  <si>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</si>
  <si>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</si>
  <si>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</si>
  <si>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</si>
  <si>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</si>
  <si>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</si>
  <si>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</si>
  <si>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</si>
  <si>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</si>
  <si>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</si>
  <si>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</si>
  <si>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</si>
  <si>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</si>
  <si>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</si>
  <si>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</si>
  <si>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</si>
  <si>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</si>
  <si>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</si>
  <si>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</si>
  <si>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</si>
  <si>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</si>
  <si>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</si>
  <si>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</si>
  <si>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</si>
  <si>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</si>
  <si>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</si>
  <si>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</si>
  <si>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</si>
  <si>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</si>
  <si>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</si>
  <si>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</si>
  <si>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</si>
  <si>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</si>
  <si>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</si>
  <si>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</si>
  <si>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</si>
  <si>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</si>
  <si>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</si>
  <si>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</si>
  <si>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</si>
  <si>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</si>
  <si>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</si>
  <si>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</si>
  <si>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</si>
  <si>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</si>
  <si>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</si>
  <si>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</si>
  <si>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</si>
  <si>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</si>
  <si>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</si>
  <si>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</si>
  <si>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</si>
  <si>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</si>
  <si>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</si>
  <si>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</si>
  <si>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</si>
  <si>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</si>
  <si>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</si>
  <si>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</si>
  <si>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</si>
  <si>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</si>
  <si>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</si>
  <si>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</si>
  <si>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</si>
  <si>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</si>
  <si>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</si>
  <si>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</si>
  <si>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</si>
  <si>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</si>
  <si>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</si>
  <si>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</si>
  <si>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</si>
  <si>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</si>
  <si>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</si>
  <si>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</si>
  <si>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</si>
  <si>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</si>
  <si>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</si>
  <si>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</si>
  <si>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</si>
  <si>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</si>
  <si>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</si>
  <si>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</si>
  <si>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</si>
  <si>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</si>
  <si>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</si>
  <si>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</si>
  <si>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</si>
  <si>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</si>
  <si>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</si>
  <si>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</si>
  <si>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</si>
  <si>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</si>
  <si>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</si>
  <si>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</si>
  <si>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</si>
  <si>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</si>
  <si>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</si>
  <si>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</si>
  <si>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</si>
  <si>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</si>
  <si>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</si>
  <si>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</si>
  <si>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</si>
  <si>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</si>
  <si>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</si>
  <si>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</si>
  <si>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</si>
  <si>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</si>
  <si>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</si>
  <si>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</si>
  <si>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</si>
  <si>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</si>
  <si>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</si>
  <si>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</si>
  <si>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</si>
  <si>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</si>
  <si>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</si>
  <si>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</si>
  <si>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</si>
  <si>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</si>
  <si>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</si>
  <si>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</si>
  <si>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</si>
  <si>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</si>
  <si>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</si>
  <si>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</si>
  <si>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</si>
  <si>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</si>
  <si>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</si>
  <si>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</si>
  <si>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</si>
  <si>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</si>
  <si>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</si>
  <si>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</si>
  <si>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</si>
  <si>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</si>
  <si>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</si>
  <si>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</si>
  <si>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</si>
  <si>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</si>
  <si>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</si>
  <si>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</si>
  <si>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</si>
  <si>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</si>
  <si>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</si>
  <si>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</si>
  <si>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</si>
  <si>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</si>
  <si>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</si>
  <si>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</si>
  <si>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</si>
  <si>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</si>
  <si>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</si>
  <si>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</si>
  <si>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</si>
  <si>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</si>
  <si>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</si>
  <si>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</si>
  <si>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</si>
  <si>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</si>
  <si>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</si>
  <si>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</si>
  <si>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</si>
  <si>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</si>
  <si>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</si>
  <si>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</si>
  <si>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</si>
  <si>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</si>
  <si>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</si>
  <si>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</si>
  <si>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</si>
  <si>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</si>
  <si>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</si>
  <si>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</si>
  <si>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</si>
  <si>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</si>
  <si>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</si>
  <si>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</si>
  <si>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</si>
  <si>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</si>
  <si>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</si>
  <si>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</si>
  <si>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</si>
  <si>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</si>
  <si>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</si>
  <si>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</si>
  <si>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</si>
  <si>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</si>
  <si>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</si>
  <si>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</si>
  <si>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</si>
  <si>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</si>
  <si>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</si>
  <si>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</si>
  <si>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</si>
  <si>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</si>
  <si>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</si>
  <si>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</si>
  <si>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</si>
  <si>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</si>
  <si>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</si>
  <si>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</si>
  <si>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</si>
  <si>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</si>
  <si>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</si>
  <si>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</si>
  <si>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</si>
  <si>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</si>
  <si>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</si>
  <si>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</si>
  <si>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</si>
  <si>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</si>
  <si>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</si>
  <si>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</si>
  <si>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</si>
  <si>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</si>
  <si>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</si>
  <si>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</si>
  <si>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</si>
  <si>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</si>
  <si>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</si>
  <si>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</si>
  <si>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</si>
  <si>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</si>
  <si>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</si>
  <si>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</si>
  <si>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</si>
  <si>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</si>
  <si>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</si>
  <si>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</si>
  <si>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</si>
  <si>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</si>
  <si>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</si>
  <si>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</si>
  <si>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</si>
  <si>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</si>
  <si>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</si>
  <si>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</si>
  <si>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</si>
  <si>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</si>
  <si>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</si>
  <si>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</si>
  <si>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</si>
  <si>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</si>
  <si>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</si>
  <si>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</si>
  <si>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</si>
  <si>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</si>
  <si>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</si>
  <si>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</si>
  <si>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</si>
  <si>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</si>
  <si>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</si>
  <si>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</si>
  <si>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</si>
  <si>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</si>
  <si>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</si>
  <si>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</si>
  <si>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</si>
  <si>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</si>
  <si>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</si>
  <si>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</si>
  <si>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</si>
  <si>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</si>
  <si>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</si>
  <si>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</si>
  <si>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</si>
  <si>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</si>
  <si>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</si>
  <si>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</si>
  <si>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</si>
  <si>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</si>
  <si>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</si>
  <si>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</si>
  <si>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</si>
  <si>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</si>
  <si>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</si>
  <si>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</si>
  <si>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</si>
  <si>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</si>
  <si>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</si>
  <si>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</si>
  <si>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</si>
  <si>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</si>
  <si>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</si>
  <si>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</si>
  <si>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</si>
  <si>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</si>
  <si>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</si>
  <si>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</si>
  <si>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</si>
  <si>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</si>
  <si>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</si>
  <si>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</si>
  <si>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</si>
  <si>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</si>
  <si>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</si>
  <si>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</si>
  <si>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</si>
  <si>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</si>
  <si>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</si>
  <si>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</si>
  <si>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</si>
  <si>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</si>
  <si>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</si>
  <si>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</si>
  <si>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</si>
  <si>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</si>
  <si>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</si>
  <si>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</si>
  <si>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</si>
  <si>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</si>
  <si>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</si>
  <si>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</si>
  <si>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</si>
  <si>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</si>
  <si>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</si>
  <si>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</si>
  <si>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</si>
  <si>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</si>
  <si>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</si>
  <si>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</si>
  <si>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</si>
  <si>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</si>
  <si>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</si>
  <si>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</si>
  <si>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</si>
  <si>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</si>
  <si>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</si>
  <si>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</si>
  <si>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</si>
  <si>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</si>
  <si>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</si>
  <si>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</si>
  <si>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</si>
  <si>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</si>
  <si>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</si>
  <si>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</si>
  <si>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</si>
  <si>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</si>
  <si>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</si>
  <si>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</si>
  <si>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</si>
  <si>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</si>
  <si>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</si>
  <si>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</si>
  <si>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</si>
  <si>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</si>
  <si>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</si>
  <si>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</si>
  <si>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</si>
  <si>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</si>
  <si>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</si>
  <si>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</si>
  <si>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</si>
  <si>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</si>
  <si>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</si>
  <si>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</si>
  <si>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</si>
  <si>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</si>
  <si>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</si>
  <si>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</si>
  <si>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</si>
  <si>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</si>
  <si>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</si>
  <si>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</si>
  <si>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</si>
  <si>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</si>
  <si>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</si>
  <si>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</si>
  <si>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</si>
  <si>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</si>
  <si>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</si>
  <si>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</si>
  <si>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</si>
  <si>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</si>
  <si>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</si>
  <si>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</si>
  <si>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</si>
  <si>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</si>
  <si>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</si>
  <si>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</si>
  <si>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</si>
  <si>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</si>
  <si>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</si>
  <si>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</si>
  <si>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</si>
  <si>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</si>
  <si>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</si>
  <si>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</si>
  <si>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</si>
  <si>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</si>
  <si>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</si>
  <si>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</si>
  <si>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</si>
  <si>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</si>
  <si>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</si>
  <si>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</si>
  <si>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</si>
  <si>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</si>
  <si>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</si>
  <si>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</si>
  <si>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</si>
  <si>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</si>
  <si>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</si>
  <si>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</si>
  <si>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</si>
  <si>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</si>
  <si>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</si>
  <si>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</si>
  <si>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</si>
  <si>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</si>
  <si>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</si>
  <si>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</si>
  <si>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</si>
  <si>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</si>
  <si>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</si>
  <si>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</si>
  <si>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</si>
  <si>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</si>
  <si>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</si>
  <si>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</si>
  <si>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</si>
  <si>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</si>
  <si>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</si>
  <si>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</si>
  <si>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</si>
  <si>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</si>
  <si>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</si>
  <si>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</si>
  <si>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</si>
  <si>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</si>
  <si>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</si>
  <si>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</si>
  <si>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</si>
  <si>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</si>
  <si>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</si>
  <si>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</si>
  <si>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</si>
  <si>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</si>
  <si>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</si>
  <si>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</si>
  <si>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</si>
  <si>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</si>
  <si>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</si>
  <si>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</si>
  <si>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</si>
  <si>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</si>
  <si>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</si>
  <si>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</si>
  <si>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</si>
  <si>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</si>
  <si>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</si>
  <si>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</si>
  <si>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</si>
  <si>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</si>
  <si>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</si>
  <si>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</si>
  <si>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</si>
  <si>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</si>
  <si>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</si>
  <si>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</si>
  <si>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</si>
  <si>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</si>
  <si>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</si>
  <si>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</si>
  <si>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</si>
  <si>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</si>
  <si>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</si>
  <si>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</si>
  <si>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</si>
  <si>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</si>
  <si>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</si>
  <si>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</si>
  <si>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</si>
  <si>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</si>
  <si>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</si>
  <si>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</si>
  <si>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</si>
  <si>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</si>
  <si>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</si>
  <si>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</si>
  <si>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</si>
  <si>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</si>
  <si>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</si>
  <si>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</si>
  <si>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</si>
  <si>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</si>
  <si>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</si>
  <si>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</si>
  <si>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</si>
  <si>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</si>
  <si>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</si>
  <si>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</si>
  <si>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</si>
  <si>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</si>
  <si>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</si>
  <si>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</si>
  <si>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</si>
  <si>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</si>
  <si>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</si>
  <si>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</si>
  <si>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</si>
  <si>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</si>
  <si>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</si>
  <si>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</si>
  <si>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</si>
  <si>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</si>
  <si>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</si>
  <si>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</si>
  <si>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</si>
  <si>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</si>
  <si>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</si>
  <si>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</si>
  <si>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</si>
  <si>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</si>
  <si>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</si>
  <si>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</si>
  <si>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</si>
  <si>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</si>
  <si>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</si>
  <si>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</si>
  <si>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</si>
  <si>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</si>
  <si>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</si>
  <si>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</si>
  <si>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</si>
  <si>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</si>
  <si>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</si>
  <si>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</si>
  <si>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</si>
  <si>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</si>
  <si>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</si>
  <si>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</si>
  <si>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</si>
  <si>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</si>
  <si>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</si>
  <si>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</si>
  <si>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</si>
  <si>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</si>
  <si>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</si>
  <si>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</si>
  <si>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</si>
  <si>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</si>
  <si>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</si>
  <si>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</si>
  <si>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</si>
  <si>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</si>
  <si>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</si>
  <si>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</si>
  <si>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</si>
  <si>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</si>
  <si>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</si>
  <si>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</si>
  <si>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</si>
  <si>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</si>
  <si>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</si>
  <si>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</si>
  <si>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</si>
  <si>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</si>
  <si>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</si>
  <si>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</si>
  <si>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</si>
  <si>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</si>
  <si>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</si>
  <si>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</si>
  <si>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</si>
  <si>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</si>
  <si>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</si>
  <si>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</si>
  <si>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</si>
  <si>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</si>
  <si>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</si>
  <si>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</si>
  <si>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</si>
  <si>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</si>
  <si>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</si>
  <si>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</si>
  <si>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</si>
  <si>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</si>
  <si>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</si>
  <si>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</si>
  <si>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</si>
  <si>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</si>
  <si>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</si>
  <si>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</si>
  <si>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</si>
  <si>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</si>
  <si>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</si>
  <si>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</si>
  <si>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</si>
  <si>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</si>
  <si>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</si>
  <si>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</si>
  <si>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</si>
  <si>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</si>
  <si>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</si>
  <si>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</si>
  <si>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</si>
  <si>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</si>
  <si>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</si>
  <si>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</si>
  <si>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</si>
  <si>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</si>
  <si>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</si>
  <si>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</si>
  <si>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</si>
  <si>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</si>
  <si>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</si>
  <si>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</si>
  <si>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</si>
  <si>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</si>
  <si>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</si>
  <si>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</si>
  <si>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</si>
  <si>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</si>
  <si>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</si>
  <si>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</si>
  <si>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</si>
  <si>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</si>
  <si>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</si>
  <si>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</si>
  <si>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</si>
  <si>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</si>
  <si>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</si>
  <si>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</si>
  <si>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</si>
  <si>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</si>
  <si>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</si>
  <si>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</si>
  <si>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</si>
  <si>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</si>
  <si>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</si>
  <si>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</si>
  <si>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</si>
  <si>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</si>
  <si>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</si>
  <si>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</si>
  <si>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</si>
  <si>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</si>
  <si>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</si>
  <si>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</si>
  <si>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</si>
  <si>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</si>
  <si>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</si>
  <si>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</si>
  <si>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</si>
  <si>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</si>
  <si>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</si>
  <si>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</si>
  <si>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</si>
  <si>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</si>
  <si>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</si>
  <si>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白景生</t>
    <phoneticPr fontId="5" type="noConversion"/>
  </si>
  <si>
    <t>2018-3</t>
    <phoneticPr fontId="145" type="noConversion"/>
  </si>
  <si>
    <t>2018-2</t>
    <phoneticPr fontId="5" type="noConversion"/>
  </si>
  <si>
    <t>其他：</t>
  </si>
  <si>
    <t>天津市</t>
    <phoneticPr fontId="8" type="noConversion"/>
  </si>
  <si>
    <t>出让</t>
  </si>
  <si>
    <t>序号</t>
  </si>
  <si>
    <t>抵押物坐落</t>
  </si>
  <si>
    <t>产权证号</t>
  </si>
  <si>
    <r>
      <t>抵押面积</t>
    </r>
    <r>
      <rPr>
        <b/>
        <sz val="11"/>
        <rFont val="Times New Roman"/>
        <family val="1"/>
      </rPr>
      <t>(</t>
    </r>
    <r>
      <rPr>
        <b/>
        <sz val="11"/>
        <rFont val="宋体"/>
        <family val="3"/>
        <charset val="134"/>
      </rPr>
      <t>㎡</t>
    </r>
    <r>
      <rPr>
        <b/>
        <sz val="11"/>
        <rFont val="Times New Roman"/>
        <family val="1"/>
      </rPr>
      <t>)</t>
    </r>
  </si>
  <si>
    <t>所在楼层</t>
  </si>
  <si>
    <t>备注</t>
  </si>
  <si>
    <r>
      <t>津南区小站镇东马路与后营路交口紫烟阁</t>
    </r>
    <r>
      <rPr>
        <sz val="10"/>
        <rFont val="Times New Roman"/>
        <family val="1"/>
      </rPr>
      <t>132#</t>
    </r>
    <r>
      <rPr>
        <sz val="10"/>
        <rFont val="宋体"/>
        <family val="3"/>
        <charset val="134"/>
      </rPr>
      <t>楼底商</t>
    </r>
    <r>
      <rPr>
        <sz val="10"/>
        <rFont val="Times New Roman"/>
        <family val="1"/>
      </rPr>
      <t>10</t>
    </r>
  </si>
  <si>
    <t>一层底商</t>
  </si>
  <si>
    <t>“米立方”海世界正大门对过，同时为成熟住宅地产底商，位置较好，租金较高每天每平方米3.6元至3.9元左右。</t>
    <phoneticPr fontId="259" type="noConversion"/>
  </si>
  <si>
    <r>
      <t>津南区小站镇东马路与后营路交口紫烟阁</t>
    </r>
    <r>
      <rPr>
        <sz val="10"/>
        <rFont val="Times New Roman"/>
        <family val="1"/>
      </rPr>
      <t>132#</t>
    </r>
    <r>
      <rPr>
        <sz val="10"/>
        <rFont val="宋体"/>
        <family val="3"/>
        <charset val="134"/>
      </rPr>
      <t>楼底商</t>
    </r>
    <r>
      <rPr>
        <sz val="10"/>
        <rFont val="Times New Roman"/>
        <family val="1"/>
      </rPr>
      <t>11</t>
    </r>
  </si>
  <si>
    <r>
      <t>津（</t>
    </r>
    <r>
      <rPr>
        <sz val="10"/>
        <rFont val="Times New Roman"/>
        <family val="1"/>
      </rPr>
      <t>2016</t>
    </r>
    <r>
      <rPr>
        <sz val="10"/>
        <rFont val="宋体"/>
        <family val="3"/>
        <charset val="134"/>
      </rPr>
      <t>）津南区不动产权第</t>
    </r>
    <r>
      <rPr>
        <sz val="10"/>
        <rFont val="Times New Roman"/>
        <family val="1"/>
      </rPr>
      <t>1006934</t>
    </r>
    <r>
      <rPr>
        <sz val="10"/>
        <rFont val="宋体"/>
        <family val="3"/>
        <charset val="134"/>
      </rPr>
      <t>号</t>
    </r>
  </si>
  <si>
    <r>
      <t>津南区小站镇东马路与后营路交口紫烟阁</t>
    </r>
    <r>
      <rPr>
        <sz val="10"/>
        <rFont val="Times New Roman"/>
        <family val="1"/>
      </rPr>
      <t>134#</t>
    </r>
    <r>
      <rPr>
        <sz val="10"/>
        <rFont val="宋体"/>
        <family val="3"/>
        <charset val="134"/>
      </rPr>
      <t>楼</t>
    </r>
    <r>
      <rPr>
        <sz val="10"/>
        <rFont val="Times New Roman"/>
        <family val="1"/>
      </rPr>
      <t>201</t>
    </r>
  </si>
  <si>
    <r>
      <t>津（</t>
    </r>
    <r>
      <rPr>
        <sz val="10"/>
        <rFont val="Times New Roman"/>
        <family val="1"/>
      </rPr>
      <t>2016</t>
    </r>
    <r>
      <rPr>
        <sz val="10"/>
        <rFont val="宋体"/>
        <family val="3"/>
        <charset val="134"/>
      </rPr>
      <t>）津南区不动产权第</t>
    </r>
    <r>
      <rPr>
        <sz val="10"/>
        <rFont val="Times New Roman"/>
        <family val="1"/>
      </rPr>
      <t>1007247</t>
    </r>
    <r>
      <rPr>
        <sz val="10"/>
        <rFont val="宋体"/>
        <family val="3"/>
        <charset val="134"/>
      </rPr>
      <t>号</t>
    </r>
  </si>
  <si>
    <t>二层</t>
  </si>
  <si>
    <r>
      <t>津南区小站镇东马路与后营路交口紫烟阁</t>
    </r>
    <r>
      <rPr>
        <sz val="10"/>
        <rFont val="Times New Roman"/>
        <family val="1"/>
      </rPr>
      <t>134#</t>
    </r>
    <r>
      <rPr>
        <sz val="10"/>
        <rFont val="宋体"/>
        <family val="3"/>
        <charset val="134"/>
      </rPr>
      <t>楼</t>
    </r>
    <r>
      <rPr>
        <sz val="10"/>
        <rFont val="Times New Roman"/>
        <family val="1"/>
      </rPr>
      <t>202</t>
    </r>
  </si>
  <si>
    <r>
      <t>津（</t>
    </r>
    <r>
      <rPr>
        <sz val="10"/>
        <rFont val="Times New Roman"/>
        <family val="1"/>
      </rPr>
      <t>2016</t>
    </r>
    <r>
      <rPr>
        <sz val="10"/>
        <rFont val="宋体"/>
        <family val="3"/>
        <charset val="134"/>
      </rPr>
      <t>）津南区不动产权第</t>
    </r>
    <r>
      <rPr>
        <sz val="10"/>
        <rFont val="Times New Roman"/>
        <family val="1"/>
      </rPr>
      <t>1007248</t>
    </r>
    <r>
      <rPr>
        <sz val="10"/>
        <rFont val="宋体"/>
        <family val="3"/>
        <charset val="134"/>
      </rPr>
      <t>号</t>
    </r>
  </si>
  <si>
    <r>
      <t>津南区小站镇东马路与后营路交口紫烟阁</t>
    </r>
    <r>
      <rPr>
        <sz val="10"/>
        <rFont val="Times New Roman"/>
        <family val="1"/>
      </rPr>
      <t>134#</t>
    </r>
    <r>
      <rPr>
        <sz val="10"/>
        <rFont val="宋体"/>
        <family val="3"/>
        <charset val="134"/>
      </rPr>
      <t>楼</t>
    </r>
    <r>
      <rPr>
        <sz val="10"/>
        <rFont val="Times New Roman"/>
        <family val="1"/>
      </rPr>
      <t>203</t>
    </r>
  </si>
  <si>
    <r>
      <t>津（</t>
    </r>
    <r>
      <rPr>
        <sz val="10"/>
        <rFont val="Times New Roman"/>
        <family val="1"/>
      </rPr>
      <t>2016</t>
    </r>
    <r>
      <rPr>
        <sz val="10"/>
        <rFont val="宋体"/>
        <family val="3"/>
        <charset val="134"/>
      </rPr>
      <t>）津南区不动产权第</t>
    </r>
    <r>
      <rPr>
        <sz val="10"/>
        <rFont val="Times New Roman"/>
        <family val="1"/>
      </rPr>
      <t>1007249</t>
    </r>
    <r>
      <rPr>
        <sz val="10"/>
        <rFont val="宋体"/>
        <family val="3"/>
        <charset val="134"/>
      </rPr>
      <t>号</t>
    </r>
  </si>
  <si>
    <r>
      <t>津南区小站镇东马路与后营路交口紫烟阁</t>
    </r>
    <r>
      <rPr>
        <sz val="10"/>
        <rFont val="Times New Roman"/>
        <family val="1"/>
      </rPr>
      <t>10-12</t>
    </r>
    <r>
      <rPr>
        <sz val="10"/>
        <rFont val="宋体"/>
        <family val="3"/>
        <charset val="134"/>
      </rPr>
      <t>号楼</t>
    </r>
    <r>
      <rPr>
        <sz val="10"/>
        <rFont val="Times New Roman"/>
        <family val="1"/>
      </rPr>
      <t>-116</t>
    </r>
  </si>
  <si>
    <r>
      <t>津（</t>
    </r>
    <r>
      <rPr>
        <sz val="10"/>
        <rFont val="Times New Roman"/>
        <family val="1"/>
      </rPr>
      <t>2016</t>
    </r>
    <r>
      <rPr>
        <sz val="10"/>
        <rFont val="宋体"/>
        <family val="3"/>
        <charset val="134"/>
      </rPr>
      <t>）津南区不动产权底</t>
    </r>
    <r>
      <rPr>
        <sz val="10"/>
        <rFont val="Times New Roman"/>
        <family val="1"/>
      </rPr>
      <t>1035525</t>
    </r>
    <r>
      <rPr>
        <sz val="10"/>
        <rFont val="宋体"/>
        <family val="3"/>
        <charset val="134"/>
      </rPr>
      <t>号</t>
    </r>
  </si>
  <si>
    <t>一层</t>
  </si>
  <si>
    <r>
      <t>津南区小站镇东马路与后营路交口紫烟阁</t>
    </r>
    <r>
      <rPr>
        <sz val="10"/>
        <rFont val="Times New Roman"/>
        <family val="1"/>
      </rPr>
      <t>125</t>
    </r>
    <r>
      <rPr>
        <sz val="10"/>
        <rFont val="宋体"/>
        <family val="3"/>
        <charset val="134"/>
      </rPr>
      <t>号楼</t>
    </r>
  </si>
  <si>
    <t>一层至</t>
  </si>
  <si>
    <r>
      <t>津南区小站镇东马路与后营路交口紫烟阁</t>
    </r>
    <r>
      <rPr>
        <sz val="10"/>
        <rFont val="Calibri"/>
        <family val="2"/>
      </rPr>
      <t>10-12</t>
    </r>
    <r>
      <rPr>
        <sz val="10"/>
        <rFont val="宋体"/>
        <family val="3"/>
        <charset val="134"/>
      </rPr>
      <t>号楼</t>
    </r>
    <r>
      <rPr>
        <sz val="10"/>
        <rFont val="Calibri"/>
        <family val="2"/>
      </rPr>
      <t>-117</t>
    </r>
  </si>
  <si>
    <r>
      <t>津（</t>
    </r>
    <r>
      <rPr>
        <sz val="10"/>
        <rFont val="Calibri"/>
        <family val="2"/>
      </rPr>
      <t>2016</t>
    </r>
    <r>
      <rPr>
        <sz val="10"/>
        <rFont val="宋体"/>
        <family val="3"/>
        <charset val="134"/>
      </rPr>
      <t>）津南区不动产权底</t>
    </r>
    <r>
      <rPr>
        <sz val="10"/>
        <rFont val="Calibri"/>
        <family val="2"/>
      </rPr>
      <t>1035526</t>
    </r>
    <r>
      <rPr>
        <sz val="10"/>
        <rFont val="宋体"/>
        <family val="3"/>
        <charset val="134"/>
      </rPr>
      <t>号</t>
    </r>
  </si>
  <si>
    <r>
      <t>津南区小站镇东马路与后营路交口紫烟阁</t>
    </r>
    <r>
      <rPr>
        <sz val="10"/>
        <rFont val="Times New Roman"/>
        <family val="1"/>
      </rPr>
      <t>10-12</t>
    </r>
    <r>
      <rPr>
        <sz val="10"/>
        <rFont val="宋体"/>
        <family val="3"/>
        <charset val="134"/>
      </rPr>
      <t>号楼</t>
    </r>
    <r>
      <rPr>
        <sz val="10"/>
        <rFont val="Times New Roman"/>
        <family val="1"/>
      </rPr>
      <t>-117</t>
    </r>
  </si>
  <si>
    <r>
      <t>津（</t>
    </r>
    <r>
      <rPr>
        <sz val="10"/>
        <rFont val="Times New Roman"/>
        <family val="1"/>
      </rPr>
      <t>2016</t>
    </r>
    <r>
      <rPr>
        <sz val="10"/>
        <rFont val="宋体"/>
        <family val="3"/>
        <charset val="134"/>
      </rPr>
      <t>）津南区不动产权底</t>
    </r>
    <r>
      <rPr>
        <sz val="10"/>
        <rFont val="Times New Roman"/>
        <family val="1"/>
      </rPr>
      <t>1035526</t>
    </r>
    <r>
      <rPr>
        <sz val="10"/>
        <rFont val="宋体"/>
        <family val="3"/>
        <charset val="134"/>
      </rPr>
      <t>号</t>
    </r>
  </si>
  <si>
    <r>
      <t>津南区小站镇东马路与后营路交口紫烟阁</t>
    </r>
    <r>
      <rPr>
        <sz val="10"/>
        <rFont val="Times New Roman"/>
        <family val="1"/>
      </rPr>
      <t>10-12</t>
    </r>
    <r>
      <rPr>
        <sz val="10"/>
        <rFont val="宋体"/>
        <family val="3"/>
        <charset val="134"/>
      </rPr>
      <t>号楼</t>
    </r>
    <r>
      <rPr>
        <sz val="10"/>
        <rFont val="Times New Roman"/>
        <family val="1"/>
      </rPr>
      <t>-118</t>
    </r>
  </si>
  <si>
    <r>
      <t>津（</t>
    </r>
    <r>
      <rPr>
        <sz val="10"/>
        <rFont val="Times New Roman"/>
        <family val="1"/>
      </rPr>
      <t>2016</t>
    </r>
    <r>
      <rPr>
        <sz val="10"/>
        <rFont val="宋体"/>
        <family val="3"/>
        <charset val="134"/>
      </rPr>
      <t>）津南区不动产权底</t>
    </r>
    <r>
      <rPr>
        <sz val="10"/>
        <rFont val="Times New Roman"/>
        <family val="1"/>
      </rPr>
      <t>1035527</t>
    </r>
    <r>
      <rPr>
        <sz val="10"/>
        <rFont val="宋体"/>
        <family val="3"/>
        <charset val="134"/>
      </rPr>
      <t>号</t>
    </r>
  </si>
  <si>
    <r>
      <t>津南区小站镇东马路与后营路交口紫烟阁</t>
    </r>
    <r>
      <rPr>
        <sz val="10"/>
        <rFont val="Times New Roman"/>
        <family val="1"/>
      </rPr>
      <t>10-12</t>
    </r>
    <r>
      <rPr>
        <sz val="10"/>
        <rFont val="宋体"/>
        <family val="3"/>
        <charset val="134"/>
      </rPr>
      <t>号楼</t>
    </r>
    <r>
      <rPr>
        <sz val="10"/>
        <rFont val="Times New Roman"/>
        <family val="1"/>
      </rPr>
      <t>-201</t>
    </r>
  </si>
  <si>
    <r>
      <t>津（</t>
    </r>
    <r>
      <rPr>
        <sz val="10"/>
        <rFont val="Times New Roman"/>
        <family val="1"/>
      </rPr>
      <t>2016</t>
    </r>
    <r>
      <rPr>
        <sz val="10"/>
        <rFont val="宋体"/>
        <family val="3"/>
        <charset val="134"/>
      </rPr>
      <t>）津南区不动产权底</t>
    </r>
    <r>
      <rPr>
        <sz val="10"/>
        <rFont val="Times New Roman"/>
        <family val="1"/>
      </rPr>
      <t>1035528</t>
    </r>
    <r>
      <rPr>
        <sz val="10"/>
        <rFont val="宋体"/>
        <family val="3"/>
        <charset val="134"/>
      </rPr>
      <t>号</t>
    </r>
  </si>
  <si>
    <r>
      <t>津南区小站镇怡润轩</t>
    </r>
    <r>
      <rPr>
        <sz val="10"/>
        <rFont val="Times New Roman"/>
        <family val="1"/>
      </rPr>
      <t>1</t>
    </r>
    <r>
      <rPr>
        <sz val="10"/>
        <rFont val="宋体"/>
        <family val="3"/>
        <charset val="134"/>
      </rPr>
      <t>号楼底商</t>
    </r>
    <r>
      <rPr>
        <sz val="10"/>
        <rFont val="Times New Roman"/>
        <family val="1"/>
      </rPr>
      <t>1</t>
    </r>
    <r>
      <rPr>
        <sz val="10"/>
        <rFont val="宋体"/>
        <family val="3"/>
        <charset val="134"/>
      </rPr>
      <t>号</t>
    </r>
  </si>
  <si>
    <r>
      <t>房地证津字第</t>
    </r>
    <r>
      <rPr>
        <sz val="10"/>
        <rFont val="Times New Roman"/>
        <family val="1"/>
      </rPr>
      <t>1120813124400</t>
    </r>
    <r>
      <rPr>
        <sz val="10"/>
        <rFont val="宋体"/>
        <family val="3"/>
        <charset val="134"/>
      </rPr>
      <t>号</t>
    </r>
  </si>
  <si>
    <t>福乐汇商业街里面，紧邻农业银行，离中心广场较近</t>
  </si>
  <si>
    <r>
      <t>津南区小站镇怡润轩</t>
    </r>
    <r>
      <rPr>
        <sz val="10"/>
        <rFont val="Times New Roman"/>
        <family val="1"/>
      </rPr>
      <t>5</t>
    </r>
    <r>
      <rPr>
        <sz val="10"/>
        <rFont val="宋体"/>
        <family val="3"/>
        <charset val="134"/>
      </rPr>
      <t>号楼底商</t>
    </r>
    <r>
      <rPr>
        <sz val="10"/>
        <rFont val="Times New Roman"/>
        <family val="1"/>
      </rPr>
      <t>9</t>
    </r>
    <r>
      <rPr>
        <sz val="10"/>
        <rFont val="宋体"/>
        <family val="3"/>
        <charset val="134"/>
      </rPr>
      <t>号</t>
    </r>
  </si>
  <si>
    <r>
      <t>房地证津字第</t>
    </r>
    <r>
      <rPr>
        <sz val="10"/>
        <rFont val="Times New Roman"/>
        <family val="1"/>
      </rPr>
      <t>1120813124658</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</si>
  <si>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1</t>
    </r>
    <r>
      <rPr>
        <sz val="10"/>
        <rFont val="宋体"/>
        <family val="3"/>
        <charset val="134"/>
      </rPr>
      <t>号</t>
    </r>
  </si>
  <si>
    <r>
      <t>房地证津字第</t>
    </r>
    <r>
      <rPr>
        <sz val="10"/>
        <rFont val="Times New Roman"/>
        <family val="1"/>
      </rPr>
      <t>1120815018734</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</si>
  <si>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2</t>
    </r>
    <r>
      <rPr>
        <sz val="10"/>
        <rFont val="宋体"/>
        <family val="3"/>
        <charset val="134"/>
      </rPr>
      <t>号</t>
    </r>
  </si>
  <si>
    <r>
      <t>房地证津字第</t>
    </r>
    <r>
      <rPr>
        <sz val="10"/>
        <rFont val="Times New Roman"/>
        <family val="1"/>
      </rPr>
      <t>1120815018735</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</si>
  <si>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3</t>
    </r>
    <r>
      <rPr>
        <sz val="10"/>
        <rFont val="宋体"/>
        <family val="3"/>
        <charset val="134"/>
      </rPr>
      <t>号</t>
    </r>
  </si>
  <si>
    <r>
      <t>房地证津字第</t>
    </r>
    <r>
      <rPr>
        <sz val="10"/>
        <rFont val="Times New Roman"/>
        <family val="1"/>
      </rPr>
      <t>1120815018736</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</si>
  <si>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4</t>
    </r>
    <r>
      <rPr>
        <sz val="10"/>
        <rFont val="宋体"/>
        <family val="3"/>
        <charset val="134"/>
      </rPr>
      <t>号</t>
    </r>
  </si>
  <si>
    <r>
      <t>房地证津字第</t>
    </r>
    <r>
      <rPr>
        <sz val="10"/>
        <rFont val="Times New Roman"/>
        <family val="1"/>
      </rPr>
      <t>1120815018737</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</si>
  <si>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5</t>
    </r>
    <r>
      <rPr>
        <sz val="10"/>
        <rFont val="宋体"/>
        <family val="3"/>
        <charset val="134"/>
      </rPr>
      <t>号</t>
    </r>
  </si>
  <si>
    <r>
      <t>房地证津字第</t>
    </r>
    <r>
      <rPr>
        <sz val="10"/>
        <rFont val="Times New Roman"/>
        <family val="1"/>
      </rPr>
      <t>1120815018738</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</si>
  <si>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6</t>
    </r>
    <r>
      <rPr>
        <sz val="10"/>
        <rFont val="宋体"/>
        <family val="3"/>
        <charset val="134"/>
      </rPr>
      <t>号</t>
    </r>
  </si>
  <si>
    <r>
      <t>房地证津字第</t>
    </r>
    <r>
      <rPr>
        <sz val="10"/>
        <rFont val="Times New Roman"/>
        <family val="1"/>
      </rPr>
      <t>1120815018739</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</si>
  <si>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7</t>
    </r>
    <r>
      <rPr>
        <sz val="10"/>
        <rFont val="宋体"/>
        <family val="3"/>
        <charset val="134"/>
      </rPr>
      <t>号</t>
    </r>
  </si>
  <si>
    <r>
      <t>房地证津字第</t>
    </r>
    <r>
      <rPr>
        <sz val="10"/>
        <rFont val="Times New Roman"/>
        <family val="1"/>
      </rPr>
      <t>1120815018740</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</si>
  <si>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8</t>
    </r>
    <r>
      <rPr>
        <sz val="10"/>
        <rFont val="宋体"/>
        <family val="3"/>
        <charset val="134"/>
      </rPr>
      <t>号</t>
    </r>
  </si>
  <si>
    <r>
      <t>房地证津字第</t>
    </r>
    <r>
      <rPr>
        <sz val="10"/>
        <rFont val="Times New Roman"/>
        <family val="1"/>
      </rPr>
      <t>1120815018741</t>
    </r>
    <r>
      <rPr>
        <sz val="10"/>
        <rFont val="宋体"/>
        <family val="3"/>
        <charset val="134"/>
      </rPr>
      <t>号</t>
    </r>
  </si>
  <si>
    <r>
      <t>津南区小站镇怡润轩</t>
    </r>
    <r>
      <rPr>
        <sz val="10"/>
        <rFont val="Times New Roman"/>
        <family val="1"/>
      </rPr>
      <t>16</t>
    </r>
    <r>
      <rPr>
        <sz val="10"/>
        <rFont val="宋体"/>
        <family val="3"/>
        <charset val="134"/>
      </rPr>
      <t>号楼底商</t>
    </r>
    <r>
      <rPr>
        <sz val="10"/>
        <rFont val="Times New Roman"/>
        <family val="1"/>
      </rPr>
      <t>9</t>
    </r>
    <r>
      <rPr>
        <sz val="10"/>
        <rFont val="宋体"/>
        <family val="3"/>
        <charset val="134"/>
      </rPr>
      <t>号</t>
    </r>
  </si>
  <si>
    <r>
      <t>房地证津字第</t>
    </r>
    <r>
      <rPr>
        <sz val="10"/>
        <rFont val="Times New Roman"/>
        <family val="1"/>
      </rPr>
      <t>1120815018742</t>
    </r>
    <r>
      <rPr>
        <sz val="10"/>
        <rFont val="宋体"/>
        <family val="3"/>
        <charset val="134"/>
      </rPr>
      <t>号</t>
    </r>
  </si>
  <si>
    <r>
      <t>津南区小站镇怡润轩</t>
    </r>
    <r>
      <rPr>
        <b/>
        <sz val="10"/>
        <rFont val="Times New Roman"/>
        <family val="1"/>
      </rPr>
      <t>16</t>
    </r>
    <r>
      <rPr>
        <b/>
        <sz val="10"/>
        <rFont val="宋体"/>
        <family val="3"/>
        <charset val="134"/>
      </rPr>
      <t>号楼底商</t>
    </r>
    <r>
      <rPr>
        <b/>
        <sz val="10"/>
        <rFont val="Times New Roman"/>
        <family val="1"/>
      </rPr>
      <t>10</t>
    </r>
    <r>
      <rPr>
        <b/>
        <sz val="10"/>
        <rFont val="宋体"/>
        <family val="3"/>
        <charset val="134"/>
      </rPr>
      <t>号</t>
    </r>
  </si>
  <si>
    <r>
      <t>房地证津字第</t>
    </r>
    <r>
      <rPr>
        <b/>
        <sz val="10"/>
        <rFont val="Times New Roman"/>
        <family val="1"/>
      </rPr>
      <t>1120815018743</t>
    </r>
    <r>
      <rPr>
        <b/>
        <sz val="10"/>
        <rFont val="宋体"/>
        <family val="3"/>
        <charset val="134"/>
      </rPr>
      <t>号</t>
    </r>
  </si>
  <si>
    <r>
      <t>津南区小站镇怡润轩</t>
    </r>
    <r>
      <rPr>
        <sz val="10"/>
        <rFont val="Times New Roman"/>
        <family val="1"/>
      </rPr>
      <t>16-202</t>
    </r>
  </si>
  <si>
    <r>
      <t>房地证津字第</t>
    </r>
    <r>
      <rPr>
        <sz val="10"/>
        <rFont val="Times New Roman"/>
        <family val="1"/>
      </rPr>
      <t>1120815018750</t>
    </r>
    <r>
      <rPr>
        <sz val="10"/>
        <rFont val="宋体"/>
        <family val="3"/>
        <charset val="134"/>
      </rPr>
      <t>号</t>
    </r>
  </si>
  <si>
    <r>
      <t>津南区小站镇怡润轩</t>
    </r>
    <r>
      <rPr>
        <sz val="10"/>
        <rFont val="Times New Roman"/>
        <family val="1"/>
      </rPr>
      <t>16-203</t>
    </r>
  </si>
  <si>
    <r>
      <t>房地证津字第</t>
    </r>
    <r>
      <rPr>
        <sz val="10"/>
        <rFont val="Times New Roman"/>
        <family val="1"/>
      </rPr>
      <t>1120815018751</t>
    </r>
    <r>
      <rPr>
        <sz val="10"/>
        <rFont val="宋体"/>
        <family val="3"/>
        <charset val="134"/>
      </rPr>
      <t>号</t>
    </r>
  </si>
  <si>
    <r>
      <t>津南区小站镇怡润轩</t>
    </r>
    <r>
      <rPr>
        <sz val="10"/>
        <rFont val="Times New Roman"/>
        <family val="1"/>
      </rPr>
      <t>16-204</t>
    </r>
  </si>
  <si>
    <r>
      <t>房地证津字第</t>
    </r>
    <r>
      <rPr>
        <sz val="10"/>
        <rFont val="Times New Roman"/>
        <family val="1"/>
      </rPr>
      <t>1120815018752</t>
    </r>
    <r>
      <rPr>
        <sz val="10"/>
        <rFont val="宋体"/>
        <family val="3"/>
        <charset val="134"/>
      </rPr>
      <t>号</t>
    </r>
  </si>
  <si>
    <r>
      <t>津南区小站镇怡润轩</t>
    </r>
    <r>
      <rPr>
        <sz val="10"/>
        <rFont val="Times New Roman"/>
        <family val="1"/>
      </rPr>
      <t>16-205</t>
    </r>
  </si>
  <si>
    <r>
      <t>房地证津字第</t>
    </r>
    <r>
      <rPr>
        <sz val="10"/>
        <rFont val="Times New Roman"/>
        <family val="1"/>
      </rPr>
      <t>1120815018753</t>
    </r>
    <r>
      <rPr>
        <sz val="10"/>
        <rFont val="宋体"/>
        <family val="3"/>
        <charset val="134"/>
      </rPr>
      <t>号</t>
    </r>
  </si>
  <si>
    <r>
      <t>津南区小站镇怡润轩</t>
    </r>
    <r>
      <rPr>
        <sz val="10"/>
        <rFont val="Times New Roman"/>
        <family val="1"/>
      </rPr>
      <t>16-206</t>
    </r>
  </si>
  <si>
    <r>
      <t>房地证津字第</t>
    </r>
    <r>
      <rPr>
        <sz val="10"/>
        <rFont val="Times New Roman"/>
        <family val="1"/>
      </rPr>
      <t>1120815018754</t>
    </r>
    <r>
      <rPr>
        <sz val="10"/>
        <rFont val="宋体"/>
        <family val="3"/>
        <charset val="134"/>
      </rPr>
      <t>号</t>
    </r>
  </si>
  <si>
    <r>
      <t>津南区小站镇怡润轩</t>
    </r>
    <r>
      <rPr>
        <sz val="10"/>
        <rFont val="Times New Roman"/>
        <family val="1"/>
      </rPr>
      <t>16-207</t>
    </r>
  </si>
  <si>
    <r>
      <t>房地证津字第</t>
    </r>
    <r>
      <rPr>
        <sz val="10"/>
        <rFont val="Times New Roman"/>
        <family val="1"/>
      </rPr>
      <t>1120815018755</t>
    </r>
    <r>
      <rPr>
        <sz val="10"/>
        <rFont val="宋体"/>
        <family val="3"/>
        <charset val="134"/>
      </rPr>
      <t>号</t>
    </r>
  </si>
  <si>
    <r>
      <t>津南区小站镇怡润轩</t>
    </r>
    <r>
      <rPr>
        <sz val="10"/>
        <rFont val="Times New Roman"/>
        <family val="1"/>
      </rPr>
      <t>16-208</t>
    </r>
  </si>
  <si>
    <r>
      <t>房地证津字第</t>
    </r>
    <r>
      <rPr>
        <sz val="10"/>
        <rFont val="Times New Roman"/>
        <family val="1"/>
      </rPr>
      <t>1120815018756</t>
    </r>
    <r>
      <rPr>
        <sz val="10"/>
        <rFont val="宋体"/>
        <family val="3"/>
        <charset val="134"/>
      </rPr>
      <t>号</t>
    </r>
  </si>
  <si>
    <r>
      <t>津南区小站镇怡润轩</t>
    </r>
    <r>
      <rPr>
        <sz val="10"/>
        <rFont val="Times New Roman"/>
        <family val="1"/>
      </rPr>
      <t>16-209</t>
    </r>
  </si>
  <si>
    <r>
      <t>房地证津字第</t>
    </r>
    <r>
      <rPr>
        <sz val="10"/>
        <rFont val="Times New Roman"/>
        <family val="1"/>
      </rPr>
      <t>1120815018757</t>
    </r>
    <r>
      <rPr>
        <sz val="10"/>
        <rFont val="宋体"/>
        <family val="3"/>
        <charset val="134"/>
      </rPr>
      <t>号</t>
    </r>
  </si>
  <si>
    <r>
      <t>津南区小站镇怡润轩</t>
    </r>
    <r>
      <rPr>
        <sz val="10"/>
        <rFont val="Times New Roman"/>
        <family val="1"/>
      </rPr>
      <t>16-210</t>
    </r>
  </si>
  <si>
    <r>
      <t>房地证津字第</t>
    </r>
    <r>
      <rPr>
        <sz val="10"/>
        <rFont val="Times New Roman"/>
        <family val="1"/>
      </rPr>
      <t>1120815018758</t>
    </r>
    <r>
      <rPr>
        <sz val="10"/>
        <rFont val="宋体"/>
        <family val="3"/>
        <charset val="134"/>
      </rPr>
      <t>号</t>
    </r>
  </si>
  <si>
    <r>
      <t>津南区小站镇怡润轩</t>
    </r>
    <r>
      <rPr>
        <sz val="10"/>
        <rFont val="Times New Roman"/>
        <family val="1"/>
      </rPr>
      <t>16-211</t>
    </r>
  </si>
  <si>
    <r>
      <t>房地证津字第</t>
    </r>
    <r>
      <rPr>
        <sz val="10"/>
        <rFont val="Times New Roman"/>
        <family val="1"/>
      </rPr>
      <t>1120815018759</t>
    </r>
    <r>
      <rPr>
        <sz val="10"/>
        <rFont val="宋体"/>
        <family val="3"/>
        <charset val="134"/>
      </rPr>
      <t>号</t>
    </r>
  </si>
  <si>
    <r>
      <t>津南区小站镇怡润轩</t>
    </r>
    <r>
      <rPr>
        <sz val="10"/>
        <rFont val="Times New Roman"/>
        <family val="1"/>
      </rPr>
      <t>16-212</t>
    </r>
  </si>
  <si>
    <r>
      <t>房地证津字第</t>
    </r>
    <r>
      <rPr>
        <sz val="10"/>
        <rFont val="Times New Roman"/>
        <family val="1"/>
      </rPr>
      <t>1120815018760</t>
    </r>
    <r>
      <rPr>
        <sz val="10"/>
        <rFont val="宋体"/>
        <family val="3"/>
        <charset val="134"/>
      </rPr>
      <t>号</t>
    </r>
  </si>
  <si>
    <r>
      <t>津南区小站镇怡润轩</t>
    </r>
    <r>
      <rPr>
        <sz val="10"/>
        <rFont val="Times New Roman"/>
        <family val="1"/>
      </rPr>
      <t>16-301</t>
    </r>
  </si>
  <si>
    <r>
      <t>房地证津字第</t>
    </r>
    <r>
      <rPr>
        <sz val="10"/>
        <rFont val="Times New Roman"/>
        <family val="1"/>
      </rPr>
      <t>1120815018761</t>
    </r>
    <r>
      <rPr>
        <sz val="10"/>
        <rFont val="宋体"/>
        <family val="3"/>
        <charset val="134"/>
      </rPr>
      <t>号</t>
    </r>
  </si>
  <si>
    <t>三层</t>
  </si>
  <si>
    <r>
      <t>津南区小站镇怡润轩</t>
    </r>
    <r>
      <rPr>
        <sz val="10"/>
        <rFont val="Times New Roman"/>
        <family val="1"/>
      </rPr>
      <t>16-302</t>
    </r>
  </si>
  <si>
    <r>
      <t>房地证津字第</t>
    </r>
    <r>
      <rPr>
        <sz val="10"/>
        <rFont val="Times New Roman"/>
        <family val="1"/>
      </rPr>
      <t>1120815018762</t>
    </r>
    <r>
      <rPr>
        <sz val="10"/>
        <rFont val="宋体"/>
        <family val="3"/>
        <charset val="134"/>
      </rPr>
      <t>号</t>
    </r>
  </si>
  <si>
    <r>
      <t>津南区小站镇怡润轩</t>
    </r>
    <r>
      <rPr>
        <sz val="10"/>
        <rFont val="Times New Roman"/>
        <family val="1"/>
      </rPr>
      <t>16-303</t>
    </r>
  </si>
  <si>
    <r>
      <t>房地证津字第</t>
    </r>
    <r>
      <rPr>
        <sz val="10"/>
        <rFont val="Times New Roman"/>
        <family val="1"/>
      </rPr>
      <t>1120815018763</t>
    </r>
    <r>
      <rPr>
        <sz val="10"/>
        <rFont val="宋体"/>
        <family val="3"/>
        <charset val="134"/>
      </rPr>
      <t>号</t>
    </r>
  </si>
  <si>
    <r>
      <t>津南区小站镇怡润轩</t>
    </r>
    <r>
      <rPr>
        <sz val="10"/>
        <rFont val="Times New Roman"/>
        <family val="1"/>
      </rPr>
      <t>16-304</t>
    </r>
  </si>
  <si>
    <r>
      <t>房地证津字第</t>
    </r>
    <r>
      <rPr>
        <sz val="10"/>
        <rFont val="Times New Roman"/>
        <family val="1"/>
      </rPr>
      <t>1120815018764</t>
    </r>
    <r>
      <rPr>
        <sz val="10"/>
        <rFont val="宋体"/>
        <family val="3"/>
        <charset val="134"/>
      </rPr>
      <t>号</t>
    </r>
  </si>
  <si>
    <r>
      <t>津南区小站镇怡润轩</t>
    </r>
    <r>
      <rPr>
        <sz val="10"/>
        <rFont val="Times New Roman"/>
        <family val="1"/>
      </rPr>
      <t>16-305</t>
    </r>
  </si>
  <si>
    <r>
      <t>房地证津字第</t>
    </r>
    <r>
      <rPr>
        <sz val="10"/>
        <rFont val="Times New Roman"/>
        <family val="1"/>
      </rPr>
      <t>1120815018765</t>
    </r>
    <r>
      <rPr>
        <sz val="10"/>
        <rFont val="宋体"/>
        <family val="3"/>
        <charset val="134"/>
      </rPr>
      <t>号</t>
    </r>
  </si>
  <si>
    <r>
      <t>津南区小站镇怡润轩</t>
    </r>
    <r>
      <rPr>
        <sz val="10"/>
        <rFont val="Times New Roman"/>
        <family val="1"/>
      </rPr>
      <t>2-9</t>
    </r>
  </si>
  <si>
    <r>
      <t>房地产津字第</t>
    </r>
    <r>
      <rPr>
        <sz val="10"/>
        <rFont val="Times New Roman"/>
        <family val="1"/>
      </rPr>
      <t>1120813124480</t>
    </r>
  </si>
  <si>
    <r>
      <t>津南区小站镇怡泽轩</t>
    </r>
    <r>
      <rPr>
        <b/>
        <sz val="10"/>
        <rFont val="Times New Roman"/>
        <family val="1"/>
      </rPr>
      <t>32-2</t>
    </r>
    <r>
      <rPr>
        <b/>
        <sz val="10"/>
        <rFont val="宋体"/>
        <family val="3"/>
        <charset val="134"/>
      </rPr>
      <t>号</t>
    </r>
  </si>
  <si>
    <r>
      <t>房地证津字第</t>
    </r>
    <r>
      <rPr>
        <b/>
        <sz val="10"/>
        <rFont val="Times New Roman"/>
        <family val="1"/>
      </rPr>
      <t>1120813170579</t>
    </r>
    <r>
      <rPr>
        <b/>
        <sz val="10"/>
        <rFont val="宋体"/>
        <family val="3"/>
        <charset val="134"/>
      </rPr>
      <t>号</t>
    </r>
  </si>
  <si>
    <r>
      <t>经现场了解，</t>
    </r>
    <r>
      <rPr>
        <b/>
        <sz val="10"/>
        <rFont val="宋体"/>
        <family val="3"/>
        <charset val="134"/>
      </rPr>
      <t>怡泽轩新商铺在售价格约为</t>
    </r>
    <r>
      <rPr>
        <b/>
        <sz val="10"/>
        <rFont val="Times New Roman"/>
        <family val="1"/>
      </rPr>
      <t>2.2</t>
    </r>
    <r>
      <rPr>
        <b/>
        <sz val="10"/>
        <rFont val="宋体"/>
        <family val="3"/>
        <charset val="134"/>
      </rPr>
      <t>万左右，二手商铺普遍在</t>
    </r>
    <r>
      <rPr>
        <b/>
        <sz val="10"/>
        <rFont val="Times New Roman"/>
        <family val="1"/>
      </rPr>
      <t>1.8</t>
    </r>
    <r>
      <rPr>
        <b/>
        <sz val="10"/>
        <rFont val="宋体"/>
        <family val="3"/>
        <charset val="134"/>
      </rPr>
      <t>万、</t>
    </r>
    <r>
      <rPr>
        <b/>
        <sz val="10"/>
        <rFont val="Times New Roman"/>
        <family val="1"/>
      </rPr>
      <t>1.9</t>
    </r>
    <r>
      <rPr>
        <b/>
        <sz val="10"/>
        <rFont val="宋体"/>
        <family val="3"/>
        <charset val="134"/>
      </rPr>
      <t>万。</t>
    </r>
  </si>
  <si>
    <r>
      <t>津南区小站镇怡泽轩</t>
    </r>
    <r>
      <rPr>
        <b/>
        <sz val="10"/>
        <rFont val="Times New Roman"/>
        <family val="1"/>
      </rPr>
      <t>32-3</t>
    </r>
    <r>
      <rPr>
        <b/>
        <sz val="10"/>
        <rFont val="宋体"/>
        <family val="3"/>
        <charset val="134"/>
      </rPr>
      <t>号</t>
    </r>
  </si>
  <si>
    <r>
      <t>房地证津字第</t>
    </r>
    <r>
      <rPr>
        <b/>
        <sz val="10"/>
        <rFont val="Times New Roman"/>
        <family val="1"/>
      </rPr>
      <t>1120813170580</t>
    </r>
    <r>
      <rPr>
        <b/>
        <sz val="10"/>
        <rFont val="宋体"/>
        <family val="3"/>
        <charset val="134"/>
      </rPr>
      <t>号</t>
    </r>
  </si>
  <si>
    <t>福乐汇商业街，农业银行斜对过</t>
  </si>
  <si>
    <r>
      <t>津南区小站镇怡泽轩</t>
    </r>
    <r>
      <rPr>
        <b/>
        <sz val="10"/>
        <rFont val="Times New Roman"/>
        <family val="1"/>
      </rPr>
      <t>32-6</t>
    </r>
    <r>
      <rPr>
        <b/>
        <sz val="10"/>
        <rFont val="宋体"/>
        <family val="3"/>
        <charset val="134"/>
      </rPr>
      <t>号</t>
    </r>
  </si>
  <si>
    <r>
      <t>房地证津字第</t>
    </r>
    <r>
      <rPr>
        <b/>
        <sz val="10"/>
        <rFont val="Times New Roman"/>
        <family val="1"/>
      </rPr>
      <t>1120813170576</t>
    </r>
    <r>
      <rPr>
        <b/>
        <sz val="10"/>
        <rFont val="宋体"/>
        <family val="3"/>
        <charset val="134"/>
      </rPr>
      <t>号</t>
    </r>
  </si>
  <si>
    <r>
      <t>津南区小站镇怡泽轩</t>
    </r>
    <r>
      <rPr>
        <b/>
        <sz val="10"/>
        <rFont val="Times New Roman"/>
        <family val="1"/>
      </rPr>
      <t>32-7</t>
    </r>
    <r>
      <rPr>
        <b/>
        <sz val="10"/>
        <rFont val="宋体"/>
        <family val="3"/>
        <charset val="134"/>
      </rPr>
      <t>号</t>
    </r>
  </si>
  <si>
    <r>
      <t>房地证津字第</t>
    </r>
    <r>
      <rPr>
        <b/>
        <sz val="10"/>
        <rFont val="Times New Roman"/>
        <family val="1"/>
      </rPr>
      <t>1120813170577</t>
    </r>
    <r>
      <rPr>
        <b/>
        <sz val="10"/>
        <rFont val="宋体"/>
        <family val="3"/>
        <charset val="134"/>
      </rPr>
      <t>号</t>
    </r>
  </si>
  <si>
    <r>
      <t>津南区小站镇怡泽轩</t>
    </r>
    <r>
      <rPr>
        <b/>
        <sz val="10"/>
        <rFont val="Times New Roman"/>
        <family val="1"/>
      </rPr>
      <t>32-12</t>
    </r>
    <r>
      <rPr>
        <b/>
        <sz val="10"/>
        <rFont val="宋体"/>
        <family val="3"/>
        <charset val="134"/>
      </rPr>
      <t>号</t>
    </r>
  </si>
  <si>
    <r>
      <t>房地证津字第</t>
    </r>
    <r>
      <rPr>
        <b/>
        <sz val="10"/>
        <rFont val="Times New Roman"/>
        <family val="1"/>
      </rPr>
      <t>1120813170615</t>
    </r>
    <r>
      <rPr>
        <b/>
        <sz val="10"/>
        <rFont val="宋体"/>
        <family val="3"/>
        <charset val="134"/>
      </rPr>
      <t>号</t>
    </r>
  </si>
  <si>
    <r>
      <t>津南区小站镇怡泽轩</t>
    </r>
    <r>
      <rPr>
        <b/>
        <sz val="10"/>
        <rFont val="Times New Roman"/>
        <family val="1"/>
      </rPr>
      <t>32-13</t>
    </r>
    <r>
      <rPr>
        <b/>
        <sz val="10"/>
        <rFont val="宋体"/>
        <family val="3"/>
        <charset val="134"/>
      </rPr>
      <t>号</t>
    </r>
  </si>
  <si>
    <r>
      <t>房地证津字第</t>
    </r>
    <r>
      <rPr>
        <b/>
        <sz val="10"/>
        <rFont val="Times New Roman"/>
        <family val="1"/>
      </rPr>
      <t>1120813170616</t>
    </r>
    <r>
      <rPr>
        <b/>
        <sz val="10"/>
        <rFont val="宋体"/>
        <family val="3"/>
        <charset val="134"/>
      </rPr>
      <t>号</t>
    </r>
  </si>
  <si>
    <r>
      <t>津南区小站镇怡泽轩</t>
    </r>
    <r>
      <rPr>
        <b/>
        <sz val="10"/>
        <rFont val="Times New Roman"/>
        <family val="1"/>
      </rPr>
      <t>32-14</t>
    </r>
    <r>
      <rPr>
        <b/>
        <sz val="10"/>
        <rFont val="宋体"/>
        <family val="3"/>
        <charset val="134"/>
      </rPr>
      <t>号</t>
    </r>
  </si>
  <si>
    <r>
      <t>房地证津字第</t>
    </r>
    <r>
      <rPr>
        <b/>
        <sz val="10"/>
        <rFont val="Times New Roman"/>
        <family val="1"/>
      </rPr>
      <t>1120813170617</t>
    </r>
    <r>
      <rPr>
        <b/>
        <sz val="10"/>
        <rFont val="宋体"/>
        <family val="3"/>
        <charset val="134"/>
      </rPr>
      <t>号</t>
    </r>
  </si>
  <si>
    <r>
      <t>津南区小站镇怡泽轩</t>
    </r>
    <r>
      <rPr>
        <b/>
        <sz val="10"/>
        <rFont val="Times New Roman"/>
        <family val="1"/>
      </rPr>
      <t>32-15</t>
    </r>
    <r>
      <rPr>
        <b/>
        <sz val="10"/>
        <rFont val="宋体"/>
        <family val="3"/>
        <charset val="134"/>
      </rPr>
      <t>号</t>
    </r>
  </si>
  <si>
    <r>
      <t>房地证津字第</t>
    </r>
    <r>
      <rPr>
        <b/>
        <sz val="10"/>
        <rFont val="Times New Roman"/>
        <family val="1"/>
      </rPr>
      <t>1120813170618</t>
    </r>
    <r>
      <rPr>
        <b/>
        <sz val="10"/>
        <rFont val="宋体"/>
        <family val="3"/>
        <charset val="134"/>
      </rPr>
      <t>号</t>
    </r>
  </si>
  <si>
    <r>
      <t>津南区小站镇怡泽轩</t>
    </r>
    <r>
      <rPr>
        <b/>
        <sz val="10"/>
        <rFont val="Times New Roman"/>
        <family val="1"/>
      </rPr>
      <t>32-22</t>
    </r>
    <r>
      <rPr>
        <b/>
        <sz val="10"/>
        <rFont val="宋体"/>
        <family val="3"/>
        <charset val="134"/>
      </rPr>
      <t>号</t>
    </r>
  </si>
  <si>
    <r>
      <t>房地证津字第</t>
    </r>
    <r>
      <rPr>
        <b/>
        <sz val="10"/>
        <rFont val="Times New Roman"/>
        <family val="1"/>
      </rPr>
      <t>1120813170625</t>
    </r>
    <r>
      <rPr>
        <b/>
        <sz val="10"/>
        <rFont val="宋体"/>
        <family val="3"/>
        <charset val="134"/>
      </rPr>
      <t>号</t>
    </r>
  </si>
  <si>
    <r>
      <t>津南区小站镇怡泽轩</t>
    </r>
    <r>
      <rPr>
        <b/>
        <sz val="10"/>
        <rFont val="Times New Roman"/>
        <family val="1"/>
      </rPr>
      <t>32-23</t>
    </r>
    <r>
      <rPr>
        <b/>
        <sz val="10"/>
        <rFont val="宋体"/>
        <family val="3"/>
        <charset val="134"/>
      </rPr>
      <t>号</t>
    </r>
  </si>
  <si>
    <r>
      <t>房地证津字第</t>
    </r>
    <r>
      <rPr>
        <b/>
        <sz val="10"/>
        <rFont val="Times New Roman"/>
        <family val="1"/>
      </rPr>
      <t>1120813170626</t>
    </r>
    <r>
      <rPr>
        <b/>
        <sz val="10"/>
        <rFont val="宋体"/>
        <family val="3"/>
        <charset val="134"/>
      </rPr>
      <t>号</t>
    </r>
  </si>
  <si>
    <r>
      <t>津南区小站镇怡泽轩</t>
    </r>
    <r>
      <rPr>
        <b/>
        <sz val="10"/>
        <rFont val="Times New Roman"/>
        <family val="1"/>
      </rPr>
      <t>32-24</t>
    </r>
    <r>
      <rPr>
        <b/>
        <sz val="10"/>
        <rFont val="宋体"/>
        <family val="3"/>
        <charset val="134"/>
      </rPr>
      <t>号</t>
    </r>
  </si>
  <si>
    <r>
      <t>房地证津字第</t>
    </r>
    <r>
      <rPr>
        <b/>
        <sz val="10"/>
        <rFont val="Times New Roman"/>
        <family val="1"/>
      </rPr>
      <t>1120813170574</t>
    </r>
    <r>
      <rPr>
        <b/>
        <sz val="10"/>
        <rFont val="宋体"/>
        <family val="3"/>
        <charset val="134"/>
      </rPr>
      <t>号</t>
    </r>
  </si>
  <si>
    <r>
      <t>津南区小站镇怡泽轩</t>
    </r>
    <r>
      <rPr>
        <b/>
        <sz val="10"/>
        <rFont val="Times New Roman"/>
        <family val="1"/>
      </rPr>
      <t>67-8</t>
    </r>
    <r>
      <rPr>
        <b/>
        <sz val="10"/>
        <rFont val="宋体"/>
        <family val="3"/>
        <charset val="134"/>
      </rPr>
      <t>号</t>
    </r>
  </si>
  <si>
    <r>
      <t>房地证津字第</t>
    </r>
    <r>
      <rPr>
        <b/>
        <sz val="10"/>
        <rFont val="Times New Roman"/>
        <family val="1"/>
      </rPr>
      <t>1120813186004</t>
    </r>
    <r>
      <rPr>
        <b/>
        <sz val="10"/>
        <rFont val="宋体"/>
        <family val="3"/>
        <charset val="134"/>
      </rPr>
      <t>号</t>
    </r>
  </si>
  <si>
    <r>
      <t>津南区小站镇怡泽轩</t>
    </r>
    <r>
      <rPr>
        <sz val="10"/>
        <rFont val="Times New Roman"/>
        <family val="1"/>
      </rPr>
      <t>44-1</t>
    </r>
    <r>
      <rPr>
        <sz val="10"/>
        <rFont val="宋体"/>
        <family val="3"/>
        <charset val="134"/>
      </rPr>
      <t>号</t>
    </r>
  </si>
  <si>
    <r>
      <t>房地产津字第</t>
    </r>
    <r>
      <rPr>
        <sz val="10"/>
        <rFont val="Times New Roman"/>
        <family val="1"/>
      </rPr>
      <t>112051264787</t>
    </r>
  </si>
  <si>
    <r>
      <t>津南区小站镇怡泽轩</t>
    </r>
    <r>
      <rPr>
        <sz val="10"/>
        <rFont val="Times New Roman"/>
        <family val="1"/>
      </rPr>
      <t>1-16</t>
    </r>
    <r>
      <rPr>
        <sz val="10"/>
        <rFont val="宋体"/>
        <family val="3"/>
        <charset val="134"/>
      </rPr>
      <t>号</t>
    </r>
  </si>
  <si>
    <r>
      <t>房地产津字第</t>
    </r>
    <r>
      <rPr>
        <sz val="10"/>
        <rFont val="Times New Roman"/>
        <family val="1"/>
      </rPr>
      <t>112011109488</t>
    </r>
  </si>
  <si>
    <r>
      <t>津（</t>
    </r>
    <r>
      <rPr>
        <sz val="10"/>
        <rFont val="Times New Roman"/>
        <family val="1"/>
      </rPr>
      <t>2017)</t>
    </r>
    <r>
      <rPr>
        <sz val="10"/>
        <rFont val="宋体"/>
        <family val="3"/>
        <charset val="134"/>
      </rPr>
      <t>津南区不动产权第</t>
    </r>
    <r>
      <rPr>
        <sz val="10"/>
        <rFont val="Times New Roman"/>
        <family val="1"/>
      </rPr>
      <t>1000166</t>
    </r>
    <r>
      <rPr>
        <sz val="10"/>
        <rFont val="宋体"/>
        <family val="3"/>
        <charset val="134"/>
      </rPr>
      <t>号</t>
    </r>
  </si>
  <si>
    <t>物美超市背面</t>
  </si>
  <si>
    <r>
      <t>津南区小站镇定鼎轩</t>
    </r>
    <r>
      <rPr>
        <sz val="10"/>
        <rFont val="Times New Roman"/>
        <family val="1"/>
      </rPr>
      <t>14-16#</t>
    </r>
    <r>
      <rPr>
        <sz val="10"/>
        <rFont val="宋体"/>
        <family val="3"/>
        <charset val="134"/>
      </rPr>
      <t>楼</t>
    </r>
    <r>
      <rPr>
        <sz val="10"/>
        <rFont val="Times New Roman"/>
        <family val="1"/>
      </rPr>
      <t>-15-3</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</si>
  <si>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1000201</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</si>
  <si>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-15-4</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</si>
  <si>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1000202</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</si>
  <si>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-15-5</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</si>
  <si>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1000203</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</si>
  <si>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-15-6</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</si>
  <si>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1000204</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</si>
  <si>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-15-7</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</si>
  <si>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1000205</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</si>
  <si>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-16-8</t>
    </r>
    <r>
      <rPr>
        <sz val="10"/>
        <rFont val="宋体"/>
        <family val="3"/>
        <charset val="134"/>
      </rPr>
      <t>号</t>
    </r>
  </si>
  <si>
    <r>
      <t>津（</t>
    </r>
    <r>
      <rPr>
        <sz val="10"/>
        <rFont val="Times New Roman"/>
        <family val="1"/>
      </rPr>
      <t>2017)</t>
    </r>
    <r>
      <rPr>
        <sz val="10"/>
        <rFont val="宋体"/>
        <family val="3"/>
        <charset val="134"/>
      </rPr>
      <t>津南区不动产权第</t>
    </r>
    <r>
      <rPr>
        <sz val="10"/>
        <rFont val="Times New Roman"/>
        <family val="1"/>
      </rPr>
      <t>1000308</t>
    </r>
    <r>
      <rPr>
        <sz val="10"/>
        <rFont val="宋体"/>
        <family val="3"/>
        <charset val="134"/>
      </rPr>
      <t>号</t>
    </r>
  </si>
  <si>
    <r>
      <t>津南区小站镇定鼎轩</t>
    </r>
    <r>
      <rPr>
        <sz val="10"/>
        <rFont val="Times New Roman"/>
        <family val="1"/>
      </rPr>
      <t>14-16#</t>
    </r>
    <r>
      <rPr>
        <sz val="10"/>
        <rFont val="宋体"/>
        <family val="3"/>
        <charset val="134"/>
      </rPr>
      <t>楼</t>
    </r>
    <r>
      <rPr>
        <sz val="10"/>
        <rFont val="Times New Roman"/>
        <family val="1"/>
      </rPr>
      <t>-14-2</t>
    </r>
  </si>
  <si>
    <r>
      <t>房地产津字第</t>
    </r>
    <r>
      <rPr>
        <sz val="10"/>
        <rFont val="Times New Roman"/>
        <family val="1"/>
      </rPr>
      <t>112081318</t>
    </r>
  </si>
  <si>
    <r>
      <t>津南区小站镇定鼎轩</t>
    </r>
    <r>
      <rPr>
        <sz val="10"/>
        <rFont val="Times New Roman"/>
        <family val="1"/>
      </rPr>
      <t>14-16#</t>
    </r>
    <r>
      <rPr>
        <sz val="10"/>
        <rFont val="宋体"/>
        <family val="3"/>
        <charset val="134"/>
      </rPr>
      <t>楼</t>
    </r>
    <r>
      <rPr>
        <sz val="10"/>
        <rFont val="Times New Roman"/>
        <family val="1"/>
      </rPr>
      <t>-14-3</t>
    </r>
  </si>
  <si>
    <r>
      <t>津</t>
    </r>
    <r>
      <rPr>
        <sz val="10"/>
        <rFont val="Times New Roman"/>
        <family val="1"/>
      </rPr>
      <t>2017</t>
    </r>
    <r>
      <rPr>
        <sz val="10"/>
        <rFont val="宋体"/>
        <family val="3"/>
        <charset val="134"/>
      </rPr>
      <t>津南区</t>
    </r>
    <r>
      <rPr>
        <sz val="10"/>
        <rFont val="Times New Roman"/>
        <family val="1"/>
      </rPr>
      <t>1000168</t>
    </r>
  </si>
  <si>
    <r>
      <t>津南区小站镇定鼎轩</t>
    </r>
    <r>
      <rPr>
        <sz val="10"/>
        <rFont val="Times New Roman"/>
        <family val="1"/>
      </rPr>
      <t>14-16#</t>
    </r>
    <r>
      <rPr>
        <sz val="10"/>
        <rFont val="宋体"/>
        <family val="3"/>
        <charset val="134"/>
      </rPr>
      <t>楼</t>
    </r>
    <r>
      <rPr>
        <sz val="10"/>
        <rFont val="Times New Roman"/>
        <family val="1"/>
      </rPr>
      <t>-14-4</t>
    </r>
  </si>
  <si>
    <r>
      <t>津</t>
    </r>
    <r>
      <rPr>
        <sz val="10"/>
        <rFont val="Times New Roman"/>
        <family val="1"/>
      </rPr>
      <t>2017</t>
    </r>
    <r>
      <rPr>
        <sz val="10"/>
        <rFont val="宋体"/>
        <family val="3"/>
        <charset val="134"/>
      </rPr>
      <t>津南区</t>
    </r>
    <r>
      <rPr>
        <sz val="10"/>
        <rFont val="Times New Roman"/>
        <family val="1"/>
      </rPr>
      <t>1000169</t>
    </r>
  </si>
  <si>
    <r>
      <t>津南区小站镇定鼎轩</t>
    </r>
    <r>
      <rPr>
        <sz val="10"/>
        <rFont val="Times New Roman"/>
        <family val="1"/>
      </rPr>
      <t>14-16#</t>
    </r>
    <r>
      <rPr>
        <sz val="10"/>
        <rFont val="宋体"/>
        <family val="3"/>
        <charset val="134"/>
      </rPr>
      <t>楼</t>
    </r>
    <r>
      <rPr>
        <sz val="10"/>
        <rFont val="Times New Roman"/>
        <family val="1"/>
      </rPr>
      <t>-15-1</t>
    </r>
  </si>
  <si>
    <r>
      <t>津</t>
    </r>
    <r>
      <rPr>
        <sz val="10"/>
        <rFont val="Times New Roman"/>
        <family val="1"/>
      </rPr>
      <t>2017</t>
    </r>
    <r>
      <rPr>
        <sz val="10"/>
        <rFont val="宋体"/>
        <family val="3"/>
        <charset val="134"/>
      </rPr>
      <t>津南区</t>
    </r>
    <r>
      <rPr>
        <sz val="10"/>
        <rFont val="Times New Roman"/>
        <family val="1"/>
      </rPr>
      <t>1000199</t>
    </r>
  </si>
  <si>
    <r>
      <t>津南区小站镇定鼎轩</t>
    </r>
    <r>
      <rPr>
        <sz val="10"/>
        <rFont val="Times New Roman"/>
        <family val="1"/>
      </rPr>
      <t>14-16#</t>
    </r>
    <r>
      <rPr>
        <sz val="10"/>
        <rFont val="宋体"/>
        <family val="3"/>
        <charset val="134"/>
      </rPr>
      <t>楼</t>
    </r>
    <r>
      <rPr>
        <sz val="10"/>
        <rFont val="Times New Roman"/>
        <family val="1"/>
      </rPr>
      <t>-15-2</t>
    </r>
  </si>
  <si>
    <r>
      <t>津</t>
    </r>
    <r>
      <rPr>
        <sz val="10"/>
        <rFont val="Times New Roman"/>
        <family val="1"/>
      </rPr>
      <t>2017</t>
    </r>
    <r>
      <rPr>
        <sz val="10"/>
        <rFont val="宋体"/>
        <family val="3"/>
        <charset val="134"/>
      </rPr>
      <t>津南区</t>
    </r>
    <r>
      <rPr>
        <sz val="10"/>
        <rFont val="Times New Roman"/>
        <family val="1"/>
      </rPr>
      <t>1000200</t>
    </r>
  </si>
  <si>
    <r>
      <t>水榭花都</t>
    </r>
    <r>
      <rPr>
        <sz val="10"/>
        <rFont val="Times New Roman"/>
        <family val="1"/>
      </rPr>
      <t>58-6</t>
    </r>
  </si>
  <si>
    <r>
      <t>房地产津字第</t>
    </r>
    <r>
      <rPr>
        <sz val="10"/>
        <rFont val="Times New Roman"/>
        <family val="1"/>
      </rPr>
      <t>112051318544</t>
    </r>
  </si>
  <si>
    <t>水榭花都交房时间较早，现均已出租，租赁业态为餐饮和汽车养护</t>
  </si>
  <si>
    <r>
      <t>水榭花都</t>
    </r>
    <r>
      <rPr>
        <sz val="10"/>
        <rFont val="Times New Roman"/>
        <family val="1"/>
      </rPr>
      <t>61-11</t>
    </r>
  </si>
  <si>
    <r>
      <t>房地产津字第</t>
    </r>
    <r>
      <rPr>
        <sz val="10"/>
        <rFont val="Times New Roman"/>
        <family val="1"/>
      </rPr>
      <t>112051319190</t>
    </r>
  </si>
  <si>
    <r>
      <t>水榭花都</t>
    </r>
    <r>
      <rPr>
        <sz val="10"/>
        <rFont val="Times New Roman"/>
        <family val="1"/>
      </rPr>
      <t>61-6</t>
    </r>
  </si>
  <si>
    <r>
      <t>房地产津字第</t>
    </r>
    <r>
      <rPr>
        <sz val="10"/>
        <rFont val="Times New Roman"/>
        <family val="1"/>
      </rPr>
      <t>112051319185</t>
    </r>
  </si>
  <si>
    <r>
      <t>水榭花都</t>
    </r>
    <r>
      <rPr>
        <sz val="10"/>
        <rFont val="Times New Roman"/>
        <family val="1"/>
      </rPr>
      <t>67-7</t>
    </r>
  </si>
  <si>
    <r>
      <t>房地产津字第</t>
    </r>
    <r>
      <rPr>
        <sz val="10"/>
        <rFont val="Times New Roman"/>
        <family val="1"/>
      </rPr>
      <t>1120813186003</t>
    </r>
  </si>
  <si>
    <r>
      <t>水榭花都</t>
    </r>
    <r>
      <rPr>
        <sz val="10"/>
        <rFont val="Times New Roman"/>
        <family val="1"/>
      </rPr>
      <t>71-2</t>
    </r>
  </si>
  <si>
    <r>
      <t>房地产津字第</t>
    </r>
    <r>
      <rPr>
        <sz val="10"/>
        <rFont val="Times New Roman"/>
        <family val="1"/>
      </rPr>
      <t>1120813185845</t>
    </r>
  </si>
  <si>
    <t>以下抵押物计划用于正定德鹏地块1号楼、2号楼置换</t>
    <phoneticPr fontId="259" type="noConversion"/>
  </si>
  <si>
    <t>天津市津南区小站镇定鼎轩338套商铺清单（物美超市）</t>
    <phoneticPr fontId="5" type="noConversion"/>
  </si>
  <si>
    <t>坐落</t>
    <phoneticPr fontId="5" type="noConversion"/>
  </si>
  <si>
    <t>建筑面积（㎡）</t>
  </si>
  <si>
    <t>产权证号</t>
    <phoneticPr fontId="259" type="noConversion"/>
  </si>
  <si>
    <t>津南区小站镇定鼎轩17-1、2、3-底商1号</t>
    <phoneticPr fontId="5" type="noConversion"/>
  </si>
  <si>
    <t>房地证津字第1120814011946号</t>
    <phoneticPr fontId="5" type="noConversion"/>
  </si>
  <si>
    <t>津南区小站镇定鼎轩17-1、2、3-底商2号</t>
  </si>
  <si>
    <t>房地证津字第1120814011947号</t>
    <phoneticPr fontId="5" type="noConversion"/>
  </si>
  <si>
    <t>津南区小站镇定鼎轩17-1、2、3-底商3号</t>
    <phoneticPr fontId="5" type="noConversion"/>
  </si>
  <si>
    <t>房地证津字第1120814011948号</t>
    <phoneticPr fontId="5" type="noConversion"/>
  </si>
  <si>
    <t>津南区小站镇定鼎轩17-1、2、3-底商4号</t>
  </si>
  <si>
    <t>房地证津字第1120814011949号</t>
    <phoneticPr fontId="5" type="noConversion"/>
  </si>
  <si>
    <t>津南区小站镇定鼎轩17-1、2、3-底商5号</t>
    <phoneticPr fontId="5" type="noConversion"/>
  </si>
  <si>
    <t>房地证津字第1120814011950号</t>
    <phoneticPr fontId="5" type="noConversion"/>
  </si>
  <si>
    <t>津南区小站镇定鼎轩17-1、2、3-底商6号</t>
  </si>
  <si>
    <t>房地证津字第1120814011951号</t>
    <phoneticPr fontId="5" type="noConversion"/>
  </si>
  <si>
    <t>津南区小站镇定鼎轩17-1、2、3-底商7号</t>
    <phoneticPr fontId="5" type="noConversion"/>
  </si>
  <si>
    <t>房地证津字第1120814011952号</t>
    <phoneticPr fontId="5" type="noConversion"/>
  </si>
  <si>
    <t>津南区小站镇定鼎轩17-1、2、3-底商8号</t>
  </si>
  <si>
    <t>房地证津字第1120814011953号</t>
    <phoneticPr fontId="5" type="noConversion"/>
  </si>
  <si>
    <t>津南区小站镇定鼎轩17-1、2、3-底商9号</t>
    <phoneticPr fontId="5" type="noConversion"/>
  </si>
  <si>
    <t>房地证津字第1120814011954号</t>
    <phoneticPr fontId="5" type="noConversion"/>
  </si>
  <si>
    <t>津南区小站镇定鼎轩17-1、2、3-底商10号</t>
  </si>
  <si>
    <t>房地证津字第1120814011955号</t>
    <phoneticPr fontId="5" type="noConversion"/>
  </si>
  <si>
    <t>津南区小站镇定鼎轩17-1、2、3-底商11号</t>
    <phoneticPr fontId="5" type="noConversion"/>
  </si>
  <si>
    <t>房地证津字第1120814011956号</t>
    <phoneticPr fontId="5" type="noConversion"/>
  </si>
  <si>
    <t>津南区小站镇定鼎轩17-1、2、3-底商12号</t>
  </si>
  <si>
    <t>房地证津字第1120814011957号</t>
    <phoneticPr fontId="5" type="noConversion"/>
  </si>
  <si>
    <t>津南区小站镇定鼎轩17-1、2、3-底商13号</t>
    <phoneticPr fontId="5" type="noConversion"/>
  </si>
  <si>
    <t>房地证津字第1120814012000号</t>
    <phoneticPr fontId="5" type="noConversion"/>
  </si>
  <si>
    <t>津南区小站镇定鼎轩17-1、2、3-底商14号</t>
  </si>
  <si>
    <t>房地证津字第1120814012001号</t>
    <phoneticPr fontId="5" type="noConversion"/>
  </si>
  <si>
    <t>津南区小站镇定鼎轩17-1、2、3-底商15号</t>
    <phoneticPr fontId="5" type="noConversion"/>
  </si>
  <si>
    <t>房地证津字第1120814012002号</t>
    <phoneticPr fontId="5" type="noConversion"/>
  </si>
  <si>
    <t>津南区小站镇定鼎轩17-1、2、3-底商16号</t>
  </si>
  <si>
    <t>房地证津字第1120814012003号</t>
    <phoneticPr fontId="5" type="noConversion"/>
  </si>
  <si>
    <t>津南区小站镇定鼎轩17-1、2、3-底商17号</t>
    <phoneticPr fontId="5" type="noConversion"/>
  </si>
  <si>
    <t>房地证津字第1120814012004号</t>
    <phoneticPr fontId="5" type="noConversion"/>
  </si>
  <si>
    <t>津南区小站镇定鼎轩17-1、2、3-底商18号</t>
  </si>
  <si>
    <t>房地证津字第1120814012005号</t>
    <phoneticPr fontId="5" type="noConversion"/>
  </si>
  <si>
    <t>津南区小站镇定鼎轩17-1、2、3-底商19号</t>
    <phoneticPr fontId="5" type="noConversion"/>
  </si>
  <si>
    <t>房地证津字第1120814012006号</t>
    <phoneticPr fontId="5" type="noConversion"/>
  </si>
  <si>
    <t>津南区小站镇定鼎轩17-1、2、3-底商20号</t>
    <phoneticPr fontId="5" type="noConversion"/>
  </si>
  <si>
    <t>房地证津字第1120814012007号</t>
    <phoneticPr fontId="5" type="noConversion"/>
  </si>
  <si>
    <t>津南区小站镇定鼎轩17-1、2、3-底商21号</t>
    <phoneticPr fontId="5" type="noConversion"/>
  </si>
  <si>
    <t>房地证津字第1120814012008号</t>
    <phoneticPr fontId="5" type="noConversion"/>
  </si>
  <si>
    <t>津南区小站镇定鼎轩17-1、2、3-底商22号</t>
  </si>
  <si>
    <t>房地证津字第1120814012009号</t>
    <phoneticPr fontId="5" type="noConversion"/>
  </si>
  <si>
    <t>津南区小站镇定鼎轩17-1、2、3-底商23号</t>
    <phoneticPr fontId="5" type="noConversion"/>
  </si>
  <si>
    <t>房地证津字第1120814012010号</t>
    <phoneticPr fontId="5" type="noConversion"/>
  </si>
  <si>
    <t>津南区小站镇定鼎轩17-1、2、3-底商24号</t>
  </si>
  <si>
    <t>房地证津字第1120814012011号</t>
    <phoneticPr fontId="5" type="noConversion"/>
  </si>
  <si>
    <t>津南区小站镇定鼎轩17-1、2、3-底商25号</t>
    <phoneticPr fontId="5" type="noConversion"/>
  </si>
  <si>
    <t>房地证津字第1120814012012号</t>
    <phoneticPr fontId="5" type="noConversion"/>
  </si>
  <si>
    <t>津南区小站镇定鼎轩17-1、2、3-底商26号</t>
  </si>
  <si>
    <t>房地证津字第1120814012013号</t>
    <phoneticPr fontId="5" type="noConversion"/>
  </si>
  <si>
    <t>津南区小站镇定鼎轩17-1、2、3-底商27号</t>
    <phoneticPr fontId="5" type="noConversion"/>
  </si>
  <si>
    <t>房地证津字第1120814012014号</t>
    <phoneticPr fontId="5" type="noConversion"/>
  </si>
  <si>
    <t>津南区小站镇定鼎轩17-1、2、3-底商28号</t>
  </si>
  <si>
    <t>房地证津字第1120814012015号</t>
    <phoneticPr fontId="5" type="noConversion"/>
  </si>
  <si>
    <t>津南区小站镇定鼎轩17-1、2、3-底商29号</t>
    <phoneticPr fontId="5" type="noConversion"/>
  </si>
  <si>
    <t>房地证津字第1120814012016号</t>
    <phoneticPr fontId="5" type="noConversion"/>
  </si>
  <si>
    <t>津南区小站镇定鼎轩17-1、2、3-底商30号</t>
  </si>
  <si>
    <t>房地证津字第1120814012017号</t>
    <phoneticPr fontId="5" type="noConversion"/>
  </si>
  <si>
    <t>津南区小站镇定鼎轩17-1、2、3-底商31号</t>
    <phoneticPr fontId="5" type="noConversion"/>
  </si>
  <si>
    <t>房地证津字第1120814012018号</t>
    <phoneticPr fontId="5" type="noConversion"/>
  </si>
  <si>
    <t>津南区小站镇定鼎轩17-1、2、3-底商32号</t>
  </si>
  <si>
    <t>房地证津字第1120814012019号</t>
    <phoneticPr fontId="5" type="noConversion"/>
  </si>
  <si>
    <t>津南区小站镇定鼎轩17-1、2、3-底商33号</t>
    <phoneticPr fontId="5" type="noConversion"/>
  </si>
  <si>
    <t>房地证津字第1120814012020号</t>
    <phoneticPr fontId="5" type="noConversion"/>
  </si>
  <si>
    <t>津南区小站镇定鼎轩17-1、2、3-底商34号</t>
  </si>
  <si>
    <t>房地证津字第1120814012021号</t>
    <phoneticPr fontId="5" type="noConversion"/>
  </si>
  <si>
    <t>津南区小站镇定鼎轩17-1、2、3-底商35号</t>
    <phoneticPr fontId="5" type="noConversion"/>
  </si>
  <si>
    <t>房地证津字第1120814012022号</t>
    <phoneticPr fontId="5" type="noConversion"/>
  </si>
  <si>
    <t>津南区小站镇定鼎轩17-1、2、3-底商36号</t>
  </si>
  <si>
    <t>房地证津字第1120814012023号</t>
    <phoneticPr fontId="5" type="noConversion"/>
  </si>
  <si>
    <t>津南区小站镇定鼎轩17-1、2、3-底商37号</t>
    <phoneticPr fontId="5" type="noConversion"/>
  </si>
  <si>
    <t>房地证津字第1120814012024号</t>
    <phoneticPr fontId="5" type="noConversion"/>
  </si>
  <si>
    <t>津南区小站镇定鼎轩17-1、2、3-底商38号</t>
  </si>
  <si>
    <t>房地证津字第1120814012059号</t>
    <phoneticPr fontId="5" type="noConversion"/>
  </si>
  <si>
    <t>津南区小站镇定鼎轩17-1、2、3-底商39号</t>
    <phoneticPr fontId="5" type="noConversion"/>
  </si>
  <si>
    <t>房地证津字第1120814012060号</t>
    <phoneticPr fontId="5" type="noConversion"/>
  </si>
  <si>
    <t>津南区小站镇定鼎轩17-1、2、3-底商40号</t>
  </si>
  <si>
    <t>房地证津字第1120814012061号</t>
    <phoneticPr fontId="5" type="noConversion"/>
  </si>
  <si>
    <t>津南区小站镇定鼎轩17-1、2、3-底商41号</t>
    <phoneticPr fontId="5" type="noConversion"/>
  </si>
  <si>
    <t>房地证津字第1120814012062号</t>
    <phoneticPr fontId="5" type="noConversion"/>
  </si>
  <si>
    <t>津南区小站镇定鼎轩17-1、2、3-底商42号</t>
  </si>
  <si>
    <t>房地证津字第1120814012063号</t>
    <phoneticPr fontId="5" type="noConversion"/>
  </si>
  <si>
    <t>津南区小站镇定鼎轩17-1、2、3-底商43号</t>
    <phoneticPr fontId="5" type="noConversion"/>
  </si>
  <si>
    <t>房地证津字第1120814012064号</t>
    <phoneticPr fontId="5" type="noConversion"/>
  </si>
  <si>
    <t>津南区小站镇定鼎轩17-1、2、3-底商44号</t>
  </si>
  <si>
    <t>房地证津字第1120814012065号</t>
    <phoneticPr fontId="5" type="noConversion"/>
  </si>
  <si>
    <t>津南区小站镇定鼎轩17-1、2、3-底商45号</t>
    <phoneticPr fontId="5" type="noConversion"/>
  </si>
  <si>
    <t>房地证津字第1120814012066号</t>
    <phoneticPr fontId="5" type="noConversion"/>
  </si>
  <si>
    <t>津南区小站镇定鼎轩17-1、2、3-底商46号</t>
  </si>
  <si>
    <t>房地证津字第1120814012067号</t>
    <phoneticPr fontId="5" type="noConversion"/>
  </si>
  <si>
    <t>津南区小站镇定鼎轩17-1、2、3-底商47号</t>
    <phoneticPr fontId="5" type="noConversion"/>
  </si>
  <si>
    <t>房地证津字第1120814012068号</t>
    <phoneticPr fontId="5" type="noConversion"/>
  </si>
  <si>
    <t>津南区小站镇定鼎轩17-1、2、3-底商48号</t>
  </si>
  <si>
    <t>房地证津字第1120814012069号</t>
    <phoneticPr fontId="5" type="noConversion"/>
  </si>
  <si>
    <t>津南区小站镇定鼎轩17-1、2、3-底商49号</t>
    <phoneticPr fontId="5" type="noConversion"/>
  </si>
  <si>
    <t>房地证津字第1120814012070号</t>
    <phoneticPr fontId="5" type="noConversion"/>
  </si>
  <si>
    <t>津南区小站镇定鼎轩17-1、2、3-底商50号</t>
  </si>
  <si>
    <t>房地证津字第1120814012071号</t>
    <phoneticPr fontId="5" type="noConversion"/>
  </si>
  <si>
    <t>津南区小站镇定鼎轩17-1、2、3-底商51号</t>
    <phoneticPr fontId="5" type="noConversion"/>
  </si>
  <si>
    <t>房地证津字第1120814012072号</t>
    <phoneticPr fontId="5" type="noConversion"/>
  </si>
  <si>
    <t>津南区小站镇定鼎轩17-1、2、3-底商52号</t>
  </si>
  <si>
    <t>房地证津字第1120814012073号</t>
    <phoneticPr fontId="5" type="noConversion"/>
  </si>
  <si>
    <t>津南区小站镇定鼎轩17-1、2、3-底商53号</t>
    <phoneticPr fontId="5" type="noConversion"/>
  </si>
  <si>
    <t>房地证津字第1120814012074号</t>
    <phoneticPr fontId="5" type="noConversion"/>
  </si>
  <si>
    <t>津南区小站镇定鼎轩17-1、2、3-底商54号</t>
  </si>
  <si>
    <t>房地证津字第1120814012075号</t>
    <phoneticPr fontId="5" type="noConversion"/>
  </si>
  <si>
    <t>津南区小站镇定鼎轩17-1、2、3-底商55号</t>
    <phoneticPr fontId="5" type="noConversion"/>
  </si>
  <si>
    <t>房地证津字第1120814012076号</t>
    <phoneticPr fontId="5" type="noConversion"/>
  </si>
  <si>
    <t>津南区小站镇定鼎轩17-1、2、3-底商56号</t>
  </si>
  <si>
    <t>房地证津字第1120814012077号</t>
    <phoneticPr fontId="5" type="noConversion"/>
  </si>
  <si>
    <t>津南区小站镇定鼎轩17-1、2、3-底商57号</t>
    <phoneticPr fontId="5" type="noConversion"/>
  </si>
  <si>
    <t>房地证津字第1120814012078号</t>
    <phoneticPr fontId="5" type="noConversion"/>
  </si>
  <si>
    <t>津南区小站镇定鼎轩17-1、2、3-底商58号</t>
    <phoneticPr fontId="5" type="noConversion"/>
  </si>
  <si>
    <t>房地证津字第1120814012079号</t>
    <phoneticPr fontId="5" type="noConversion"/>
  </si>
  <si>
    <t>津南区小站镇定鼎轩17-1、2、3-底商59号</t>
    <phoneticPr fontId="5" type="noConversion"/>
  </si>
  <si>
    <t>房地证津字第1120814012080号</t>
    <phoneticPr fontId="5" type="noConversion"/>
  </si>
  <si>
    <t>津南区小站镇定鼎轩17-1、2、3-底商60号</t>
  </si>
  <si>
    <t>房地证津字第1120814012081号</t>
    <phoneticPr fontId="5" type="noConversion"/>
  </si>
  <si>
    <t>津南区小站镇定鼎轩17-1、2、3-底商61号</t>
    <phoneticPr fontId="5" type="noConversion"/>
  </si>
  <si>
    <t>房地证津字第1120814012082号</t>
    <phoneticPr fontId="5" type="noConversion"/>
  </si>
  <si>
    <t>津南区小站镇定鼎轩17-1、2、3-底商62号</t>
  </si>
  <si>
    <t>房地证津字第1120814012083号</t>
    <phoneticPr fontId="5" type="noConversion"/>
  </si>
  <si>
    <t>津南区小站镇定鼎轩17-1、2、3-底商63号</t>
    <phoneticPr fontId="5" type="noConversion"/>
  </si>
  <si>
    <t>房地证津字第1120814012084号</t>
    <phoneticPr fontId="5" type="noConversion"/>
  </si>
  <si>
    <t>津南区小站镇定鼎轩17-1、2、3-底商64号</t>
  </si>
  <si>
    <t>房地证津字第1120814012085号</t>
    <phoneticPr fontId="5" type="noConversion"/>
  </si>
  <si>
    <t>津南区小站镇定鼎轩17-1、2、3-底商65号</t>
    <phoneticPr fontId="5" type="noConversion"/>
  </si>
  <si>
    <t>房地证津字第1120814012086号</t>
    <phoneticPr fontId="5" type="noConversion"/>
  </si>
  <si>
    <t>津南区小站镇定鼎轩17-1、2、3-底商66号</t>
  </si>
  <si>
    <t>房地证津字第1120814012087号</t>
    <phoneticPr fontId="5" type="noConversion"/>
  </si>
  <si>
    <t>津南区小站镇定鼎轩17-1、2、3-底商67号</t>
    <phoneticPr fontId="5" type="noConversion"/>
  </si>
  <si>
    <t>房地证津字第1120814012088号</t>
    <phoneticPr fontId="5" type="noConversion"/>
  </si>
  <si>
    <t>津南区小站镇定鼎轩17-1、2、3-底商68号</t>
  </si>
  <si>
    <t>房地证津字第1120814012089号</t>
    <phoneticPr fontId="5" type="noConversion"/>
  </si>
  <si>
    <t>津南区小站镇定鼎轩17-1、2、3-底商69号</t>
    <phoneticPr fontId="5" type="noConversion"/>
  </si>
  <si>
    <t>房地证津字第1120814012090号</t>
    <phoneticPr fontId="5" type="noConversion"/>
  </si>
  <si>
    <t>津南区小站镇定鼎轩17-1、2、3-底商70号</t>
  </si>
  <si>
    <t>房地证津字第1120814012091号</t>
    <phoneticPr fontId="5" type="noConversion"/>
  </si>
  <si>
    <t>津南区小站镇定鼎轩17-1、2、3-底商71号</t>
    <phoneticPr fontId="5" type="noConversion"/>
  </si>
  <si>
    <t>房地证津字第1120814012092号</t>
    <phoneticPr fontId="5" type="noConversion"/>
  </si>
  <si>
    <t>津南区小站镇定鼎轩17-1、2、3-底商72号</t>
  </si>
  <si>
    <t>房地证津字第1120814012093号</t>
    <phoneticPr fontId="5" type="noConversion"/>
  </si>
  <si>
    <t>津南区小站镇定鼎轩17-1、2、3-底商73号</t>
    <phoneticPr fontId="5" type="noConversion"/>
  </si>
  <si>
    <t>房地证津字第1120814012094号</t>
    <phoneticPr fontId="5" type="noConversion"/>
  </si>
  <si>
    <t>津南区小站镇定鼎轩17-1、2、3-底商74号</t>
  </si>
  <si>
    <t>房地证津字第1120814012095号</t>
    <phoneticPr fontId="5" type="noConversion"/>
  </si>
  <si>
    <t>津南区小站镇定鼎轩17-1、2、3-底商75号</t>
    <phoneticPr fontId="5" type="noConversion"/>
  </si>
  <si>
    <t>房地证津字第1120814012096号</t>
    <phoneticPr fontId="5" type="noConversion"/>
  </si>
  <si>
    <t>津南区小站镇定鼎轩17-1、2、3-底商76号</t>
  </si>
  <si>
    <t>房地证津字第1120814012097号</t>
    <phoneticPr fontId="5" type="noConversion"/>
  </si>
  <si>
    <t>津南区小站镇定鼎轩17-1、2、3-底商77号</t>
    <phoneticPr fontId="5" type="noConversion"/>
  </si>
  <si>
    <t>房地证津字第1120814012098号</t>
    <phoneticPr fontId="5" type="noConversion"/>
  </si>
  <si>
    <t>津南区小站镇定鼎轩17-1、2、3-底商78号</t>
  </si>
  <si>
    <t>房地证津字第1120814012141号</t>
    <phoneticPr fontId="5" type="noConversion"/>
  </si>
  <si>
    <t>津南区小站镇定鼎轩17-1、2、3-底商79号</t>
    <phoneticPr fontId="5" type="noConversion"/>
  </si>
  <si>
    <t>房地证津字第1120814012142号</t>
    <phoneticPr fontId="5" type="noConversion"/>
  </si>
  <si>
    <t>津南区小站镇定鼎轩17-1、2、3-底商80号</t>
  </si>
  <si>
    <t>房地证津字第1120814012143号</t>
    <phoneticPr fontId="5" type="noConversion"/>
  </si>
  <si>
    <t>津南区小站镇定鼎轩17-1、2、3-底商81号</t>
    <phoneticPr fontId="5" type="noConversion"/>
  </si>
  <si>
    <t>房地证津字第1120814012144号</t>
    <phoneticPr fontId="5" type="noConversion"/>
  </si>
  <si>
    <t>津南区小站镇定鼎轩17-1、2、3-底商82号</t>
  </si>
  <si>
    <t>房地证津字第1120814012145号</t>
    <phoneticPr fontId="5" type="noConversion"/>
  </si>
  <si>
    <t>津南区小站镇定鼎轩17-1、2、3-底商83号</t>
    <phoneticPr fontId="5" type="noConversion"/>
  </si>
  <si>
    <t>房地证津字第1120814012146号</t>
    <phoneticPr fontId="5" type="noConversion"/>
  </si>
  <si>
    <t>津南区小站镇定鼎轩17-1、2、3-底商84号</t>
  </si>
  <si>
    <t>房地证津字第1120814012147号</t>
    <phoneticPr fontId="5" type="noConversion"/>
  </si>
  <si>
    <t>津南区小站镇定鼎轩17-1、2、3-底商85号</t>
    <phoneticPr fontId="5" type="noConversion"/>
  </si>
  <si>
    <t>房地证津字第1120814012148号</t>
    <phoneticPr fontId="5" type="noConversion"/>
  </si>
  <si>
    <t>津南区小站镇定鼎轩17-1、2、3-底商86号</t>
  </si>
  <si>
    <t>房地证津字第1120814012149号</t>
    <phoneticPr fontId="5" type="noConversion"/>
  </si>
  <si>
    <t>津南区小站镇定鼎轩17-1、2、3-底商87号</t>
    <phoneticPr fontId="5" type="noConversion"/>
  </si>
  <si>
    <t>房地证津字第1120814012150号</t>
    <phoneticPr fontId="5" type="noConversion"/>
  </si>
  <si>
    <t>津南区小站镇定鼎轩17-1、2、3-底商88号</t>
  </si>
  <si>
    <t>房地证津字第1120814012151号</t>
    <phoneticPr fontId="5" type="noConversion"/>
  </si>
  <si>
    <t>津南区小站镇定鼎轩17-1、2、3-底商89号</t>
    <phoneticPr fontId="5" type="noConversion"/>
  </si>
  <si>
    <t>房地证津字第1120814012152号</t>
    <phoneticPr fontId="5" type="noConversion"/>
  </si>
  <si>
    <t>津南区小站镇定鼎轩17-1、2、3-底商90号</t>
  </si>
  <si>
    <t>房地证津字第1120814012153号</t>
    <phoneticPr fontId="5" type="noConversion"/>
  </si>
  <si>
    <t>津南区小站镇定鼎轩17-1、2、3-底商91号</t>
    <phoneticPr fontId="5" type="noConversion"/>
  </si>
  <si>
    <t>房地证津字第1120814012154号</t>
    <phoneticPr fontId="5" type="noConversion"/>
  </si>
  <si>
    <t>津南区小站镇定鼎轩17-1、2、3-底商92号</t>
  </si>
  <si>
    <t>房地证津字第1120814012155号</t>
    <phoneticPr fontId="5" type="noConversion"/>
  </si>
  <si>
    <t>津南区小站镇定鼎轩17-1、2、3-底商93号</t>
    <phoneticPr fontId="5" type="noConversion"/>
  </si>
  <si>
    <t>房地证津字第1120814012156号</t>
    <phoneticPr fontId="5" type="noConversion"/>
  </si>
  <si>
    <t>津南区小站镇定鼎轩17-1、2、3-底商94号</t>
  </si>
  <si>
    <t>房地证津字第1120814012157号</t>
    <phoneticPr fontId="5" type="noConversion"/>
  </si>
  <si>
    <t>津南区小站镇定鼎轩17-1、2、3-底商95号</t>
    <phoneticPr fontId="5" type="noConversion"/>
  </si>
  <si>
    <t>房地证津字第1120814012158号</t>
    <phoneticPr fontId="5" type="noConversion"/>
  </si>
  <si>
    <t>津南区小站镇定鼎轩17-1、2、3-底商96号</t>
  </si>
  <si>
    <t>房地证津字第1120814012159号</t>
    <phoneticPr fontId="5" type="noConversion"/>
  </si>
  <si>
    <t>津南区小站镇定鼎轩17-1、2、3-底商97号</t>
    <phoneticPr fontId="5" type="noConversion"/>
  </si>
  <si>
    <t>房地证津字第1120814012160号</t>
    <phoneticPr fontId="5" type="noConversion"/>
  </si>
  <si>
    <t>津南区小站镇定鼎轩17-1、2、3-底商98号</t>
  </si>
  <si>
    <t>房地证津字第1120814012161号</t>
    <phoneticPr fontId="5" type="noConversion"/>
  </si>
  <si>
    <t>津南区小站镇定鼎轩17-1、2、3-底商99号</t>
    <phoneticPr fontId="5" type="noConversion"/>
  </si>
  <si>
    <t>房地证津字第1120814012162号</t>
    <phoneticPr fontId="5" type="noConversion"/>
  </si>
  <si>
    <t>津南区小站镇定鼎轩17-1、2、3-底商100号</t>
  </si>
  <si>
    <t>房地证津字第1120814012163号</t>
    <phoneticPr fontId="5" type="noConversion"/>
  </si>
  <si>
    <t>津南区小站镇定鼎轩17-1、2、3-底商101号</t>
    <phoneticPr fontId="5" type="noConversion"/>
  </si>
  <si>
    <t>房地证津字第1120814012164号</t>
    <phoneticPr fontId="5" type="noConversion"/>
  </si>
  <si>
    <t>津南区小站镇定鼎轩17-1、2、3-底商102号</t>
  </si>
  <si>
    <t>房地证津字第1120814012207号</t>
    <phoneticPr fontId="5" type="noConversion"/>
  </si>
  <si>
    <t>津南区小站镇定鼎轩17-1、2、3-底商103号</t>
    <phoneticPr fontId="5" type="noConversion"/>
  </si>
  <si>
    <t>房地证津字第1120814012208号</t>
    <phoneticPr fontId="5" type="noConversion"/>
  </si>
  <si>
    <t>津南区小站镇定鼎轩17-1、2、3-底商104号</t>
  </si>
  <si>
    <t>房地证津字第1120814012209号</t>
    <phoneticPr fontId="5" type="noConversion"/>
  </si>
  <si>
    <t>津南区小站镇定鼎轩17-1、2、3-底商105号</t>
    <phoneticPr fontId="5" type="noConversion"/>
  </si>
  <si>
    <t>房地证津字第1120814012210号</t>
    <phoneticPr fontId="5" type="noConversion"/>
  </si>
  <si>
    <t>津南区小站镇定鼎轩17-1、2、3-底商106号</t>
  </si>
  <si>
    <t>房地证津字第1120814012211号</t>
    <phoneticPr fontId="5" type="noConversion"/>
  </si>
  <si>
    <t>津南区小站镇定鼎轩17-1、2、3-底商107号</t>
    <phoneticPr fontId="5" type="noConversion"/>
  </si>
  <si>
    <t>房地证津字第1120814012212号</t>
    <phoneticPr fontId="5" type="noConversion"/>
  </si>
  <si>
    <t>津南区小站镇定鼎轩17-1、2、3-底商108号</t>
  </si>
  <si>
    <t>房地证津字第1120814012213号</t>
    <phoneticPr fontId="5" type="noConversion"/>
  </si>
  <si>
    <t>津南区小站镇定鼎轩17-1、2、3-底商109号</t>
    <phoneticPr fontId="5" type="noConversion"/>
  </si>
  <si>
    <t>房地证津字第1120814012214号</t>
    <phoneticPr fontId="5" type="noConversion"/>
  </si>
  <si>
    <t>津南区小站镇定鼎轩17-1、2、3-底商110号</t>
  </si>
  <si>
    <t>房地证津字第1120814012298号</t>
    <phoneticPr fontId="5" type="noConversion"/>
  </si>
  <si>
    <t>津南区小站镇定鼎轩17-1、2、3-底商111号</t>
    <phoneticPr fontId="5" type="noConversion"/>
  </si>
  <si>
    <t>房地证津字第1120814012299号</t>
    <phoneticPr fontId="5" type="noConversion"/>
  </si>
  <si>
    <t>津南区小站镇定鼎轩17-1、2、3-底商112号</t>
  </si>
  <si>
    <t>房地证津字第1120814012300号</t>
    <phoneticPr fontId="5" type="noConversion"/>
  </si>
  <si>
    <t>津南区小站镇定鼎轩17-1、2、3-底商113号</t>
    <phoneticPr fontId="5" type="noConversion"/>
  </si>
  <si>
    <t>房地证津字第1120814012301号</t>
    <phoneticPr fontId="5" type="noConversion"/>
  </si>
  <si>
    <t>津南区小站镇定鼎轩17-1、2、3-底商114号</t>
  </si>
  <si>
    <t>房地证津字第1120814012302号</t>
    <phoneticPr fontId="5" type="noConversion"/>
  </si>
  <si>
    <t>津南区小站镇定鼎轩17-1、2、3-底商115号</t>
    <phoneticPr fontId="5" type="noConversion"/>
  </si>
  <si>
    <t>房地证津字第1120814012303号</t>
    <phoneticPr fontId="5" type="noConversion"/>
  </si>
  <si>
    <t>津南区小站镇定鼎轩17-1、2、3-底商116号</t>
  </si>
  <si>
    <t>房地证津字第1120814012304号</t>
    <phoneticPr fontId="5" type="noConversion"/>
  </si>
  <si>
    <t>津南区小站镇定鼎轩17-1、2、3-底商117号</t>
    <phoneticPr fontId="5" type="noConversion"/>
  </si>
  <si>
    <t>房地证津字第1120814012305号</t>
    <phoneticPr fontId="5" type="noConversion"/>
  </si>
  <si>
    <t>津南区小站镇定鼎轩17-1、2、3-底商118号</t>
  </si>
  <si>
    <t>房地证津字第1120814012306号</t>
    <phoneticPr fontId="5" type="noConversion"/>
  </si>
  <si>
    <t>津南区小站镇定鼎轩17-1、2、3-底商119号</t>
    <phoneticPr fontId="5" type="noConversion"/>
  </si>
  <si>
    <t>房地证津字第1120814012307号</t>
    <phoneticPr fontId="5" type="noConversion"/>
  </si>
  <si>
    <t>津南区小站镇定鼎轩17-1、2、3-底商120号</t>
  </si>
  <si>
    <t>房地证津字第1120814012308号</t>
    <phoneticPr fontId="5" type="noConversion"/>
  </si>
  <si>
    <t>津南区小站镇定鼎轩17-1、2、3-底商121号</t>
    <phoneticPr fontId="5" type="noConversion"/>
  </si>
  <si>
    <t>房地证津字第1120814012309号</t>
    <phoneticPr fontId="5" type="noConversion"/>
  </si>
  <si>
    <t>津南区小站镇定鼎轩17-1、2、3-底商122号</t>
  </si>
  <si>
    <t>房地证津字第1120814012310号</t>
    <phoneticPr fontId="5" type="noConversion"/>
  </si>
  <si>
    <t>津南区小站镇定鼎轩17-1、2、3-底商123号</t>
    <phoneticPr fontId="5" type="noConversion"/>
  </si>
  <si>
    <t>房地证津字第1120814012311号</t>
    <phoneticPr fontId="5" type="noConversion"/>
  </si>
  <si>
    <t>津南区小站镇定鼎轩17-1、2、3-底商124号</t>
  </si>
  <si>
    <t>房地证津字第1120814012312号</t>
    <phoneticPr fontId="5" type="noConversion"/>
  </si>
  <si>
    <t>津南区小站镇定鼎轩17-1、2、3-底商125号</t>
    <phoneticPr fontId="5" type="noConversion"/>
  </si>
  <si>
    <t>房地证津字第1120814012313号</t>
    <phoneticPr fontId="5" type="noConversion"/>
  </si>
  <si>
    <t>津南区小站镇定鼎轩17-1、2、3-底商126号</t>
  </si>
  <si>
    <t>房地证津字第1120814012314号</t>
    <phoneticPr fontId="5" type="noConversion"/>
  </si>
  <si>
    <t>津南区小站镇定鼎轩17-1、2、3-底商127号</t>
    <phoneticPr fontId="5" type="noConversion"/>
  </si>
  <si>
    <t>房地证津字第1120814012315号</t>
    <phoneticPr fontId="5" type="noConversion"/>
  </si>
  <si>
    <t>津南区小站镇定鼎轩17-1、2、3-底商128号</t>
  </si>
  <si>
    <t>房地证津字第1120814012316号</t>
    <phoneticPr fontId="5" type="noConversion"/>
  </si>
  <si>
    <t>津南区小站镇定鼎轩17-1、2、3-底商129号</t>
    <phoneticPr fontId="5" type="noConversion"/>
  </si>
  <si>
    <t>房地证津字第1120814012317号</t>
    <phoneticPr fontId="5" type="noConversion"/>
  </si>
  <si>
    <t>津南区小站镇定鼎轩17-1、2、3-底商130号</t>
  </si>
  <si>
    <t>房地证津字第1120814012318号</t>
    <phoneticPr fontId="5" type="noConversion"/>
  </si>
  <si>
    <t>津南区小站镇定鼎轩17-1、2、3-底商131号</t>
    <phoneticPr fontId="5" type="noConversion"/>
  </si>
  <si>
    <t>房地证津字第1120814012319号</t>
    <phoneticPr fontId="5" type="noConversion"/>
  </si>
  <si>
    <t>津南区小站镇定鼎轩17-1、2、3-底商132号</t>
  </si>
  <si>
    <t>房地证津字第1120814012320号</t>
    <phoneticPr fontId="5" type="noConversion"/>
  </si>
  <si>
    <t>津南区小站镇定鼎轩17-1、2、3-底商133号</t>
    <phoneticPr fontId="5" type="noConversion"/>
  </si>
  <si>
    <t>房地证津字第1120814012321号</t>
    <phoneticPr fontId="5" type="noConversion"/>
  </si>
  <si>
    <t>津南区小站镇定鼎轩17-1、2、3-底商134号</t>
  </si>
  <si>
    <t>房地证津字第1120814012322号</t>
    <phoneticPr fontId="5" type="noConversion"/>
  </si>
  <si>
    <t>津南区小站镇定鼎轩17-1、2、3-底商135号</t>
    <phoneticPr fontId="5" type="noConversion"/>
  </si>
  <si>
    <t>房地证津字第1120814012323号</t>
    <phoneticPr fontId="5" type="noConversion"/>
  </si>
  <si>
    <t>津南区小站镇定鼎轩17-1、2、3-底商136号</t>
  </si>
  <si>
    <t>房地证津字第1120814012324号</t>
    <phoneticPr fontId="5" type="noConversion"/>
  </si>
  <si>
    <t>津南区小站镇定鼎轩17-1、2、3-底商137号</t>
    <phoneticPr fontId="5" type="noConversion"/>
  </si>
  <si>
    <t>房地证津字第1120814012325号</t>
    <phoneticPr fontId="5" type="noConversion"/>
  </si>
  <si>
    <t>津南区小站镇定鼎轩17-1、2、3-底商138号</t>
  </si>
  <si>
    <t>房地证津字第1120814012326号</t>
    <phoneticPr fontId="5" type="noConversion"/>
  </si>
  <si>
    <t>津南区小站镇定鼎轩17-1、2、3-底商139号</t>
    <phoneticPr fontId="5" type="noConversion"/>
  </si>
  <si>
    <t>房地证津字第1120814012327号</t>
    <phoneticPr fontId="5" type="noConversion"/>
  </si>
  <si>
    <t>津南区小站镇定鼎轩17-1、2、3-底商140号</t>
  </si>
  <si>
    <t>房地证津字第1120814012328号</t>
    <phoneticPr fontId="5" type="noConversion"/>
  </si>
  <si>
    <t>津南区小站镇定鼎轩17-1、2、3-底商141号</t>
    <phoneticPr fontId="5" type="noConversion"/>
  </si>
  <si>
    <t>房地证津字第1120814012329号</t>
    <phoneticPr fontId="5" type="noConversion"/>
  </si>
  <si>
    <t>津南区小站镇定鼎轩17-1、2、3-底商142号</t>
  </si>
  <si>
    <t>房地证津字第1120814012330号</t>
    <phoneticPr fontId="5" type="noConversion"/>
  </si>
  <si>
    <t>津南区小站镇定鼎轩17-1、2、3-底商143号</t>
    <phoneticPr fontId="5" type="noConversion"/>
  </si>
  <si>
    <t>房地证津字第1120814012331号</t>
    <phoneticPr fontId="5" type="noConversion"/>
  </si>
  <si>
    <t>津南区小站镇定鼎轩17-1、2、3-底商144号</t>
  </si>
  <si>
    <t>房地证津字第1120814012332号</t>
    <phoneticPr fontId="5" type="noConversion"/>
  </si>
  <si>
    <t>津南区小站镇定鼎轩17-1、2、3-底商145号</t>
    <phoneticPr fontId="5" type="noConversion"/>
  </si>
  <si>
    <t>房地证津字第1120814012333号</t>
    <phoneticPr fontId="5" type="noConversion"/>
  </si>
  <si>
    <t>津南区小站镇定鼎轩17-1、2、3-底商146号</t>
    <phoneticPr fontId="5" type="noConversion"/>
  </si>
  <si>
    <t>房地证津字第1120814012334号</t>
    <phoneticPr fontId="5" type="noConversion"/>
  </si>
  <si>
    <t>津南区小站镇定鼎轩17-1、2、3-底商147号</t>
    <phoneticPr fontId="5" type="noConversion"/>
  </si>
  <si>
    <t>房地证津字第1120814012335号</t>
    <phoneticPr fontId="5" type="noConversion"/>
  </si>
  <si>
    <t>津南区小站镇定鼎轩17-1、2、3-底商148号</t>
  </si>
  <si>
    <t>房地证津字第1120814012336号</t>
    <phoneticPr fontId="5" type="noConversion"/>
  </si>
  <si>
    <t>津南区小站镇定鼎轩17-1、2、3-底商149号</t>
    <phoneticPr fontId="5" type="noConversion"/>
  </si>
  <si>
    <t>房地证津字第1120814012337号</t>
    <phoneticPr fontId="5" type="noConversion"/>
  </si>
  <si>
    <t>津南区小站镇定鼎轩17-1、2、3-底商150号</t>
  </si>
  <si>
    <t>房地证津字第1120814012338号</t>
    <phoneticPr fontId="5" type="noConversion"/>
  </si>
  <si>
    <t>津南区小站镇定鼎轩17-1、2、3-底商151号</t>
    <phoneticPr fontId="5" type="noConversion"/>
  </si>
  <si>
    <t>房地证津字第1120814012339号</t>
    <phoneticPr fontId="5" type="noConversion"/>
  </si>
  <si>
    <t>津南区小站镇定鼎轩17-1、2、3-底商152号</t>
  </si>
  <si>
    <t>房地证津字第1120814012340号</t>
    <phoneticPr fontId="5" type="noConversion"/>
  </si>
  <si>
    <t>津南区小站镇定鼎轩17-1、2、3-底商153号</t>
    <phoneticPr fontId="5" type="noConversion"/>
  </si>
  <si>
    <t>房地证津字第1120814012341号</t>
    <phoneticPr fontId="5" type="noConversion"/>
  </si>
  <si>
    <t>津南区小站镇定鼎轩17-1、2、3-底商154号</t>
  </si>
  <si>
    <t>房地证津字第1120814012342号</t>
    <phoneticPr fontId="5" type="noConversion"/>
  </si>
  <si>
    <t>津南区小站镇定鼎轩17-1、2、3-底商155号</t>
    <phoneticPr fontId="5" type="noConversion"/>
  </si>
  <si>
    <t>房地证津字第1120814012343号</t>
    <phoneticPr fontId="5" type="noConversion"/>
  </si>
  <si>
    <t>津南区小站镇定鼎轩17-1、2、3-底商156号</t>
  </si>
  <si>
    <t>房地证津字第1120814012344号</t>
    <phoneticPr fontId="5" type="noConversion"/>
  </si>
  <si>
    <t>津南区小站镇定鼎轩17-1、2、3-底商157号</t>
    <phoneticPr fontId="5" type="noConversion"/>
  </si>
  <si>
    <t>房地证津字第1120814012345号</t>
    <phoneticPr fontId="5" type="noConversion"/>
  </si>
  <si>
    <t>津南区小站镇定鼎轩17-1、2、3-底商158号</t>
  </si>
  <si>
    <t>房地证津字第1120814012346号</t>
    <phoneticPr fontId="5" type="noConversion"/>
  </si>
  <si>
    <t>津南区小站镇定鼎轩17-1、2、3-底商159号</t>
    <phoneticPr fontId="5" type="noConversion"/>
  </si>
  <si>
    <t>房地证津字第1120814012347号</t>
    <phoneticPr fontId="5" type="noConversion"/>
  </si>
  <si>
    <t>津南区小站镇定鼎轩17-1、2、3-底商160号</t>
  </si>
  <si>
    <t>房地证津字第1120814012348号</t>
    <phoneticPr fontId="5" type="noConversion"/>
  </si>
  <si>
    <t>津南区小站镇定鼎轩17-1、2、3-底商161号</t>
    <phoneticPr fontId="5" type="noConversion"/>
  </si>
  <si>
    <t>房地证津字第1120814012349号</t>
    <phoneticPr fontId="5" type="noConversion"/>
  </si>
  <si>
    <t>津南区小站镇定鼎轩17-1、2、3-底商162号</t>
  </si>
  <si>
    <t>房地证津字第1120814012350号</t>
    <phoneticPr fontId="5" type="noConversion"/>
  </si>
  <si>
    <t>津南区小站镇定鼎轩17-1、2、3-底商163号</t>
    <phoneticPr fontId="5" type="noConversion"/>
  </si>
  <si>
    <t>房地证津字第1120814012351号</t>
    <phoneticPr fontId="5" type="noConversion"/>
  </si>
  <si>
    <t>津南区小站镇定鼎轩17-1、2、3-底商164号</t>
  </si>
  <si>
    <t>房地证津字第1120814012352号</t>
    <phoneticPr fontId="5" type="noConversion"/>
  </si>
  <si>
    <t>津南区小站镇定鼎轩17-1、2、3-底商165号</t>
    <phoneticPr fontId="5" type="noConversion"/>
  </si>
  <si>
    <t>房地证津字第1120814012353号</t>
    <phoneticPr fontId="5" type="noConversion"/>
  </si>
  <si>
    <t>津南区小站镇定鼎轩17-1、2、3-底商166号</t>
  </si>
  <si>
    <t>房地证津字第1120814012354号</t>
    <phoneticPr fontId="5" type="noConversion"/>
  </si>
  <si>
    <t>津南区小站镇定鼎轩17-1、2、3-底商167号</t>
    <phoneticPr fontId="5" type="noConversion"/>
  </si>
  <si>
    <t>房地证津字第1120814012355号</t>
    <phoneticPr fontId="5" type="noConversion"/>
  </si>
  <si>
    <t>津南区小站镇定鼎轩17-1、2、3-底商168号</t>
  </si>
  <si>
    <t>房地证津字第1120814012356号</t>
    <phoneticPr fontId="5" type="noConversion"/>
  </si>
  <si>
    <t>津南区小站镇定鼎轩17-1、2、3-底商169号</t>
    <phoneticPr fontId="5" type="noConversion"/>
  </si>
  <si>
    <t>房地证津字第1120814012357号</t>
    <phoneticPr fontId="5" type="noConversion"/>
  </si>
  <si>
    <t>津南区小站镇定鼎轩17-1、2、3-底商170号</t>
  </si>
  <si>
    <t>房地证津字第1120814012358号</t>
    <phoneticPr fontId="5" type="noConversion"/>
  </si>
  <si>
    <t>津南区小站镇定鼎轩17-1、2、3-底商171号</t>
    <phoneticPr fontId="5" type="noConversion"/>
  </si>
  <si>
    <t>房地证津字第1120814012359号</t>
    <phoneticPr fontId="5" type="noConversion"/>
  </si>
  <si>
    <t>津南区小站镇定鼎轩17-1、2、3-3001</t>
    <phoneticPr fontId="5" type="noConversion"/>
  </si>
  <si>
    <t>房地证津字第1120814012099号</t>
    <phoneticPr fontId="5" type="noConversion"/>
  </si>
  <si>
    <t>津南区小站镇定鼎轩17-1、2、3-3002</t>
    <phoneticPr fontId="5" type="noConversion"/>
  </si>
  <si>
    <t>房地证津字第1120814012100号</t>
    <phoneticPr fontId="5" type="noConversion"/>
  </si>
  <si>
    <t>津南区小站镇定鼎轩17-1、2、3-3003</t>
  </si>
  <si>
    <t>房地证津字第1120814012101号</t>
    <phoneticPr fontId="5" type="noConversion"/>
  </si>
  <si>
    <t>津南区小站镇定鼎轩17-1、2、3-3004</t>
    <phoneticPr fontId="5" type="noConversion"/>
  </si>
  <si>
    <t>房地证津字第1120814012102号</t>
    <phoneticPr fontId="5" type="noConversion"/>
  </si>
  <si>
    <t>津南区小站镇定鼎轩17-1、2、3-3005</t>
  </si>
  <si>
    <t>房地证津字第1120814012103号</t>
    <phoneticPr fontId="5" type="noConversion"/>
  </si>
  <si>
    <t>津南区小站镇定鼎轩17-1、2、3-3006</t>
    <phoneticPr fontId="5" type="noConversion"/>
  </si>
  <si>
    <t>房地证津字第1120814012104号</t>
    <phoneticPr fontId="5" type="noConversion"/>
  </si>
  <si>
    <t>津南区小站镇定鼎轩17-1、2、3-3007</t>
  </si>
  <si>
    <t>房地证津字第1120814012105号</t>
    <phoneticPr fontId="5" type="noConversion"/>
  </si>
  <si>
    <t>津南区小站镇定鼎轩17-1、2、3-3008</t>
    <phoneticPr fontId="5" type="noConversion"/>
  </si>
  <si>
    <t>房地证津字第1120814012106号</t>
    <phoneticPr fontId="5" type="noConversion"/>
  </si>
  <si>
    <t>津南区小站镇定鼎轩17-1、2、3-3009</t>
  </si>
  <si>
    <t>房地证津字第1120814012107号</t>
    <phoneticPr fontId="5" type="noConversion"/>
  </si>
  <si>
    <t>津南区小站镇定鼎轩17-1、2、3-3010</t>
    <phoneticPr fontId="5" type="noConversion"/>
  </si>
  <si>
    <t>房地证津字第1120814012108号</t>
    <phoneticPr fontId="5" type="noConversion"/>
  </si>
  <si>
    <t>津南区小站镇定鼎轩17-1、2、3-3011</t>
  </si>
  <si>
    <t>房地证津字第1120814012109号</t>
    <phoneticPr fontId="5" type="noConversion"/>
  </si>
  <si>
    <t>津南区小站镇定鼎轩17-1、2、3-3012</t>
    <phoneticPr fontId="5" type="noConversion"/>
  </si>
  <si>
    <t>房地证津字第1120814012110号</t>
    <phoneticPr fontId="5" type="noConversion"/>
  </si>
  <si>
    <t>津南区小站镇定鼎轩17-1、2、3-3013</t>
  </si>
  <si>
    <t>房地证津字第1120814012111号</t>
    <phoneticPr fontId="5" type="noConversion"/>
  </si>
  <si>
    <t>津南区小站镇定鼎轩17-1、2、3-3014</t>
    <phoneticPr fontId="5" type="noConversion"/>
  </si>
  <si>
    <t>房地证津字第1120814012112号</t>
    <phoneticPr fontId="5" type="noConversion"/>
  </si>
  <si>
    <t>津南区小站镇定鼎轩17-1、2、3-3015</t>
  </si>
  <si>
    <t>房地证津字第1120814012113号</t>
    <phoneticPr fontId="5" type="noConversion"/>
  </si>
  <si>
    <t>津南区小站镇定鼎轩17-1、2、3-3016</t>
    <phoneticPr fontId="5" type="noConversion"/>
  </si>
  <si>
    <t>房地证津字第1120814012114号</t>
    <phoneticPr fontId="5" type="noConversion"/>
  </si>
  <si>
    <t>津南区小站镇定鼎轩17-1、2、3-3017</t>
  </si>
  <si>
    <t>房地证津字第1120814012115号</t>
    <phoneticPr fontId="5" type="noConversion"/>
  </si>
  <si>
    <t>津南区小站镇定鼎轩17-1、2、3-3018</t>
    <phoneticPr fontId="5" type="noConversion"/>
  </si>
  <si>
    <t>房地证津字第1120814012116号</t>
    <phoneticPr fontId="5" type="noConversion"/>
  </si>
  <si>
    <t>津南区小站镇定鼎轩17-1、2、3-3019</t>
  </si>
  <si>
    <t>房地证津字第1120814012117号</t>
    <phoneticPr fontId="5" type="noConversion"/>
  </si>
  <si>
    <t>津南区小站镇定鼎轩17-1、2、3-3020</t>
    <phoneticPr fontId="5" type="noConversion"/>
  </si>
  <si>
    <t>房地证津字第1120814012118号</t>
    <phoneticPr fontId="5" type="noConversion"/>
  </si>
  <si>
    <t>津南区小站镇定鼎轩17-1、2、3-3021</t>
  </si>
  <si>
    <t>房地证津字第1120814012119号</t>
    <phoneticPr fontId="5" type="noConversion"/>
  </si>
  <si>
    <t>津南区小站镇定鼎轩17-1、2、3-3022</t>
    <phoneticPr fontId="5" type="noConversion"/>
  </si>
  <si>
    <t>房地证津字第1120814012120号</t>
    <phoneticPr fontId="5" type="noConversion"/>
  </si>
  <si>
    <t>津南区小站镇定鼎轩17-1、2、3-3023</t>
  </si>
  <si>
    <t>房地证津字第1120814012121号</t>
    <phoneticPr fontId="5" type="noConversion"/>
  </si>
  <si>
    <t>津南区小站镇定鼎轩17-1、2、3-3024</t>
    <phoneticPr fontId="5" type="noConversion"/>
  </si>
  <si>
    <t>房地证津字第1120814012122号</t>
    <phoneticPr fontId="5" type="noConversion"/>
  </si>
  <si>
    <t>津南区小站镇定鼎轩17-1、2、3-3025</t>
  </si>
  <si>
    <t>房地证津字第1120814012123号</t>
    <phoneticPr fontId="5" type="noConversion"/>
  </si>
  <si>
    <t>津南区小站镇定鼎轩17-1、2、3-3026</t>
    <phoneticPr fontId="5" type="noConversion"/>
  </si>
  <si>
    <t>房地证津字第1120814012124号</t>
    <phoneticPr fontId="5" type="noConversion"/>
  </si>
  <si>
    <t>津南区小站镇定鼎轩17-1、2、3-3027</t>
  </si>
  <si>
    <t>房地证津字第1120814012125号</t>
    <phoneticPr fontId="5" type="noConversion"/>
  </si>
  <si>
    <t>津南区小站镇定鼎轩17-1、2、3-3028</t>
    <phoneticPr fontId="5" type="noConversion"/>
  </si>
  <si>
    <t>房地证津字第1120814012126号</t>
    <phoneticPr fontId="5" type="noConversion"/>
  </si>
  <si>
    <t>津南区小站镇定鼎轩17-1、2、3-3029</t>
    <phoneticPr fontId="5" type="noConversion"/>
  </si>
  <si>
    <t>房地证津字第1120814012127号</t>
    <phoneticPr fontId="5" type="noConversion"/>
  </si>
  <si>
    <t>津南区小站镇定鼎轩17-1、2、3-3030</t>
    <phoneticPr fontId="5" type="noConversion"/>
  </si>
  <si>
    <t>房地证津字第1120814012128号</t>
    <phoneticPr fontId="5" type="noConversion"/>
  </si>
  <si>
    <t>津南区小站镇定鼎轩17-1、2、3-3031</t>
  </si>
  <si>
    <t>房地证津字第1120814012129号</t>
    <phoneticPr fontId="5" type="noConversion"/>
  </si>
  <si>
    <t>津南区小站镇定鼎轩17-1、2、3-3032</t>
    <phoneticPr fontId="5" type="noConversion"/>
  </si>
  <si>
    <t>房地证津字第1120814012130号</t>
    <phoneticPr fontId="5" type="noConversion"/>
  </si>
  <si>
    <t>津南区小站镇定鼎轩17-1、2、3-3033</t>
  </si>
  <si>
    <t>房地证津字第1120814012131号</t>
    <phoneticPr fontId="5" type="noConversion"/>
  </si>
  <si>
    <t>津南区小站镇定鼎轩17-1、2、3-3034</t>
    <phoneticPr fontId="5" type="noConversion"/>
  </si>
  <si>
    <t>房地证津字第1120814012132号</t>
    <phoneticPr fontId="5" type="noConversion"/>
  </si>
  <si>
    <t>津南区小站镇定鼎轩17-1、2、3-3035</t>
  </si>
  <si>
    <t>房地证津字第1120814012133号</t>
    <phoneticPr fontId="5" type="noConversion"/>
  </si>
  <si>
    <t>津南区小站镇定鼎轩17-1、2、3-3036</t>
    <phoneticPr fontId="5" type="noConversion"/>
  </si>
  <si>
    <t>房地证津字第1120814012134号</t>
    <phoneticPr fontId="5" type="noConversion"/>
  </si>
  <si>
    <t>津南区小站镇定鼎轩17-1、2、3-3037</t>
  </si>
  <si>
    <t>房地证津字第1120814012135号</t>
    <phoneticPr fontId="5" type="noConversion"/>
  </si>
  <si>
    <t>津南区小站镇定鼎轩17-1、2、3-3038</t>
    <phoneticPr fontId="5" type="noConversion"/>
  </si>
  <si>
    <t>房地证津字第1120814012136号</t>
    <phoneticPr fontId="5" type="noConversion"/>
  </si>
  <si>
    <t>津南区小站镇定鼎轩17-1、2、3-3039</t>
  </si>
  <si>
    <t>房地证津字第1120814012137号</t>
    <phoneticPr fontId="5" type="noConversion"/>
  </si>
  <si>
    <t>津南区小站镇定鼎轩17-1、2、3-3040</t>
    <phoneticPr fontId="5" type="noConversion"/>
  </si>
  <si>
    <t>房地证津字第1120814012138号</t>
    <phoneticPr fontId="5" type="noConversion"/>
  </si>
  <si>
    <t>津南区小站镇定鼎轩17-1、2、3-3041</t>
  </si>
  <si>
    <t>房地证津字第1120814012139号</t>
    <phoneticPr fontId="5" type="noConversion"/>
  </si>
  <si>
    <t>津南区小站镇定鼎轩17-1、2、3-3042</t>
    <phoneticPr fontId="5" type="noConversion"/>
  </si>
  <si>
    <t>房地证津字第1120814012140号</t>
    <phoneticPr fontId="5" type="noConversion"/>
  </si>
  <si>
    <t>津南区小站镇定鼎轩17-1、2、3-3043</t>
  </si>
  <si>
    <t>房地证津字第1120814012165号</t>
    <phoneticPr fontId="5" type="noConversion"/>
  </si>
  <si>
    <t>津南区小站镇定鼎轩17-1、2、3-3044</t>
    <phoneticPr fontId="5" type="noConversion"/>
  </si>
  <si>
    <t>房地证津字第1120814012166号</t>
    <phoneticPr fontId="5" type="noConversion"/>
  </si>
  <si>
    <t>津南区小站镇定鼎轩17-1、2、3-3045</t>
  </si>
  <si>
    <t>房地证津字第1120814012167号</t>
    <phoneticPr fontId="5" type="noConversion"/>
  </si>
  <si>
    <t>津南区小站镇定鼎轩17-1、2、3-3046</t>
    <phoneticPr fontId="5" type="noConversion"/>
  </si>
  <si>
    <t>房地证津字第1120814012168号</t>
    <phoneticPr fontId="5" type="noConversion"/>
  </si>
  <si>
    <t>津南区小站镇定鼎轩17-1、2、3-3047</t>
  </si>
  <si>
    <t>房地证津字第1120814012169号</t>
    <phoneticPr fontId="5" type="noConversion"/>
  </si>
  <si>
    <t>津南区小站镇定鼎轩17-1、2、3-3048</t>
    <phoneticPr fontId="5" type="noConversion"/>
  </si>
  <si>
    <t>房地证津字第1120814012170号</t>
    <phoneticPr fontId="5" type="noConversion"/>
  </si>
  <si>
    <t>津南区小站镇定鼎轩17-1、2、3-3049</t>
  </si>
  <si>
    <t>房地证津字第1120814012171号</t>
    <phoneticPr fontId="5" type="noConversion"/>
  </si>
  <si>
    <t>津南区小站镇定鼎轩17-1、2、3-3050</t>
    <phoneticPr fontId="5" type="noConversion"/>
  </si>
  <si>
    <t>房地证津字第1120814012172号</t>
    <phoneticPr fontId="5" type="noConversion"/>
  </si>
  <si>
    <t>津南区小站镇定鼎轩17-1、2、3-3051</t>
  </si>
  <si>
    <t>房地证津字第1120814012173号</t>
    <phoneticPr fontId="5" type="noConversion"/>
  </si>
  <si>
    <t>津南区小站镇定鼎轩17-1、2、3-3052</t>
    <phoneticPr fontId="5" type="noConversion"/>
  </si>
  <si>
    <t>房地证津字第1120814012174号</t>
    <phoneticPr fontId="5" type="noConversion"/>
  </si>
  <si>
    <t>津南区小站镇定鼎轩17-1、2、3-3053</t>
  </si>
  <si>
    <t>房地证津字第1120814012175号</t>
    <phoneticPr fontId="5" type="noConversion"/>
  </si>
  <si>
    <t>津南区小站镇定鼎轩17-1、2、3-3054</t>
    <phoneticPr fontId="5" type="noConversion"/>
  </si>
  <si>
    <t>房地证津字第1120814012176号</t>
    <phoneticPr fontId="5" type="noConversion"/>
  </si>
  <si>
    <t>津南区小站镇定鼎轩17-1、2、3-3055</t>
  </si>
  <si>
    <t>房地证津字第1120814012177号</t>
    <phoneticPr fontId="5" type="noConversion"/>
  </si>
  <si>
    <t>津南区小站镇定鼎轩17-1、2、3-3056</t>
    <phoneticPr fontId="5" type="noConversion"/>
  </si>
  <si>
    <t>房地证津字第1120814012178号</t>
    <phoneticPr fontId="5" type="noConversion"/>
  </si>
  <si>
    <t>津南区小站镇定鼎轩17-1、2、3-3057</t>
  </si>
  <si>
    <t>房地证津字第1120814012179号</t>
    <phoneticPr fontId="5" type="noConversion"/>
  </si>
  <si>
    <t>津南区小站镇定鼎轩17-1、2、3-3058</t>
    <phoneticPr fontId="5" type="noConversion"/>
  </si>
  <si>
    <t>房地证津字第1120814012180号</t>
    <phoneticPr fontId="5" type="noConversion"/>
  </si>
  <si>
    <t>津南区小站镇定鼎轩17-1、2、3-3059</t>
  </si>
  <si>
    <t>房地证津字第1120814012181号</t>
    <phoneticPr fontId="5" type="noConversion"/>
  </si>
  <si>
    <t>津南区小站镇定鼎轩17-1、2、3-3060</t>
    <phoneticPr fontId="5" type="noConversion"/>
  </si>
  <si>
    <t>房地证津字第1120814012182号</t>
    <phoneticPr fontId="5" type="noConversion"/>
  </si>
  <si>
    <t>津南区小站镇定鼎轩17-1、2、3-3061</t>
  </si>
  <si>
    <t>房地证津字第1120814012183号</t>
    <phoneticPr fontId="5" type="noConversion"/>
  </si>
  <si>
    <t>津南区小站镇定鼎轩17-1、2、3-3062</t>
    <phoneticPr fontId="5" type="noConversion"/>
  </si>
  <si>
    <t>房地证津字第1120814012184号</t>
    <phoneticPr fontId="5" type="noConversion"/>
  </si>
  <si>
    <t>津南区小站镇定鼎轩17-1、2、3-3063</t>
  </si>
  <si>
    <t>房地证津字第1120814012185号</t>
    <phoneticPr fontId="5" type="noConversion"/>
  </si>
  <si>
    <t>津南区小站镇定鼎轩17-1、2、3-3064</t>
    <phoneticPr fontId="5" type="noConversion"/>
  </si>
  <si>
    <t>房地证津字第1120814012186号</t>
    <phoneticPr fontId="5" type="noConversion"/>
  </si>
  <si>
    <t>津南区小站镇定鼎轩17-1、2、3-3065</t>
  </si>
  <si>
    <t>房地证津字第1120814012187号</t>
    <phoneticPr fontId="5" type="noConversion"/>
  </si>
  <si>
    <t>津南区小站镇定鼎轩17-1、2、3-3066</t>
    <phoneticPr fontId="5" type="noConversion"/>
  </si>
  <si>
    <t>房地证津字第1120814012188号</t>
    <phoneticPr fontId="5" type="noConversion"/>
  </si>
  <si>
    <t>津南区小站镇定鼎轩17-1、2、3-3067</t>
  </si>
  <si>
    <t>房地证津字第1120814012189号</t>
    <phoneticPr fontId="5" type="noConversion"/>
  </si>
  <si>
    <t>津南区小站镇定鼎轩17-1、2、3-3068</t>
    <phoneticPr fontId="5" type="noConversion"/>
  </si>
  <si>
    <t>房地证津字第1120814012190号</t>
    <phoneticPr fontId="5" type="noConversion"/>
  </si>
  <si>
    <t>津南区小站镇定鼎轩17-1、2、3-3069</t>
  </si>
  <si>
    <t>房地证津字第1120814012191号</t>
    <phoneticPr fontId="5" type="noConversion"/>
  </si>
  <si>
    <t>津南区小站镇定鼎轩17-1、2、3-3070</t>
    <phoneticPr fontId="5" type="noConversion"/>
  </si>
  <si>
    <t>房地证津字第1120814012192号</t>
    <phoneticPr fontId="5" type="noConversion"/>
  </si>
  <si>
    <t>津南区小站镇定鼎轩17-1、2、3-3071</t>
  </si>
  <si>
    <t>房地证津字第1120814012193号</t>
    <phoneticPr fontId="5" type="noConversion"/>
  </si>
  <si>
    <t>津南区小站镇定鼎轩17-1、2、3-3072</t>
    <phoneticPr fontId="5" type="noConversion"/>
  </si>
  <si>
    <t>房地证津字第1120814012194号</t>
    <phoneticPr fontId="5" type="noConversion"/>
  </si>
  <si>
    <t>津南区小站镇定鼎轩17-1、2、3-3073</t>
  </si>
  <si>
    <t>房地证津字第1120814012195号</t>
    <phoneticPr fontId="5" type="noConversion"/>
  </si>
  <si>
    <t>津南区小站镇定鼎轩17-1、2、3-3074</t>
    <phoneticPr fontId="5" type="noConversion"/>
  </si>
  <si>
    <t>房地证津字第1120814012196号</t>
    <phoneticPr fontId="5" type="noConversion"/>
  </si>
  <si>
    <t>津南区小站镇定鼎轩17-1、2、3-3075</t>
  </si>
  <si>
    <t>房地证津字第1120814012197号</t>
    <phoneticPr fontId="5" type="noConversion"/>
  </si>
  <si>
    <t>津南区小站镇定鼎轩17-1、2、3-3076</t>
    <phoneticPr fontId="5" type="noConversion"/>
  </si>
  <si>
    <t>房地证津字第1120814012198号</t>
    <phoneticPr fontId="5" type="noConversion"/>
  </si>
  <si>
    <t>津南区小站镇定鼎轩17-1、2、3-3077</t>
  </si>
  <si>
    <t>房地证津字第1120814012199号</t>
    <phoneticPr fontId="5" type="noConversion"/>
  </si>
  <si>
    <t>津南区小站镇定鼎轩17-1、2、3-3078</t>
    <phoneticPr fontId="5" type="noConversion"/>
  </si>
  <si>
    <t>房地证津字第1120814012200号</t>
    <phoneticPr fontId="5" type="noConversion"/>
  </si>
  <si>
    <t>津南区小站镇定鼎轩17-1、2、3-3079</t>
  </si>
  <si>
    <t>房地证津字第1120814012201号</t>
    <phoneticPr fontId="5" type="noConversion"/>
  </si>
  <si>
    <t>津南区小站镇定鼎轩17-1、2、3-3080</t>
    <phoneticPr fontId="5" type="noConversion"/>
  </si>
  <si>
    <t>房地证津字第1120814012202号</t>
    <phoneticPr fontId="5" type="noConversion"/>
  </si>
  <si>
    <t>津南区小站镇定鼎轩17-1、2、3-3081</t>
  </si>
  <si>
    <t>房地证津字第1120814012203号</t>
    <phoneticPr fontId="5" type="noConversion"/>
  </si>
  <si>
    <t>津南区小站镇定鼎轩17-1、2、3-3082</t>
    <phoneticPr fontId="5" type="noConversion"/>
  </si>
  <si>
    <t>房地证津字第1120814012204号</t>
    <phoneticPr fontId="5" type="noConversion"/>
  </si>
  <si>
    <t>津南区小站镇定鼎轩17-1、2、3-3083</t>
  </si>
  <si>
    <t>房地证津字第1120814012205号</t>
    <phoneticPr fontId="5" type="noConversion"/>
  </si>
  <si>
    <t>津南区小站镇定鼎轩17-1、2、3-3084</t>
    <phoneticPr fontId="5" type="noConversion"/>
  </si>
  <si>
    <t>房地证津字第1120814012206号</t>
    <phoneticPr fontId="5" type="noConversion"/>
  </si>
  <si>
    <t>津南区小站镇定鼎轩17-1、2、3-3085</t>
  </si>
  <si>
    <t>房地证津字第1120814012215号</t>
    <phoneticPr fontId="5" type="noConversion"/>
  </si>
  <si>
    <t>津南区小站镇定鼎轩17-1、2、3-3086</t>
    <phoneticPr fontId="5" type="noConversion"/>
  </si>
  <si>
    <t>房地证津字第1120814012216号</t>
    <phoneticPr fontId="5" type="noConversion"/>
  </si>
  <si>
    <t>津南区小站镇定鼎轩17-1、2、3-3087</t>
  </si>
  <si>
    <t>房地证津字第1120814012217号</t>
    <phoneticPr fontId="5" type="noConversion"/>
  </si>
  <si>
    <t>津南区小站镇定鼎轩17-1、2、3-3088</t>
    <phoneticPr fontId="5" type="noConversion"/>
  </si>
  <si>
    <t>房地证津字第1120814012218号</t>
    <phoneticPr fontId="5" type="noConversion"/>
  </si>
  <si>
    <t>津南区小站镇定鼎轩17-1、2、3-3089</t>
  </si>
  <si>
    <t>房地证津字第1120814012219号</t>
    <phoneticPr fontId="5" type="noConversion"/>
  </si>
  <si>
    <t>津南区小站镇定鼎轩17-1、2、3-3090</t>
    <phoneticPr fontId="5" type="noConversion"/>
  </si>
  <si>
    <t>房地证津字第1120814012220号</t>
    <phoneticPr fontId="5" type="noConversion"/>
  </si>
  <si>
    <t>津南区小站镇定鼎轩17-1、2、3-3091</t>
  </si>
  <si>
    <t>房地证津字第1120814012221号</t>
    <phoneticPr fontId="5" type="noConversion"/>
  </si>
  <si>
    <t>津南区小站镇定鼎轩17-1、2、3-3092</t>
    <phoneticPr fontId="5" type="noConversion"/>
  </si>
  <si>
    <t>房地证津字第1120814012222号</t>
    <phoneticPr fontId="5" type="noConversion"/>
  </si>
  <si>
    <t>津南区小站镇定鼎轩17-1、2、3-3093</t>
  </si>
  <si>
    <t>房地证津字第1120814012223号</t>
    <phoneticPr fontId="5" type="noConversion"/>
  </si>
  <si>
    <t>津南区小站镇定鼎轩17-1、2、3-3094</t>
    <phoneticPr fontId="5" type="noConversion"/>
  </si>
  <si>
    <t>房地证津字第1120814012224号</t>
    <phoneticPr fontId="5" type="noConversion"/>
  </si>
  <si>
    <t>津南区小站镇定鼎轩17-1、2、3-3095</t>
  </si>
  <si>
    <t>房地证津字第1120814012225号</t>
    <phoneticPr fontId="5" type="noConversion"/>
  </si>
  <si>
    <t>津南区小站镇定鼎轩17-1、2、3-3096</t>
    <phoneticPr fontId="5" type="noConversion"/>
  </si>
  <si>
    <t>房地证津字第1120814012226号</t>
    <phoneticPr fontId="5" type="noConversion"/>
  </si>
  <si>
    <t>津南区小站镇定鼎轩17-1、2、3-3097</t>
  </si>
  <si>
    <t>房地证津字第1120814012227号</t>
    <phoneticPr fontId="5" type="noConversion"/>
  </si>
  <si>
    <t>津南区小站镇定鼎轩17-1、2、3-3098</t>
    <phoneticPr fontId="5" type="noConversion"/>
  </si>
  <si>
    <t>房地证津字第1120814012228号</t>
    <phoneticPr fontId="5" type="noConversion"/>
  </si>
  <si>
    <t>津南区小站镇定鼎轩17-1、2、3-3099</t>
  </si>
  <si>
    <t>房地证津字第1120814012229号</t>
    <phoneticPr fontId="5" type="noConversion"/>
  </si>
  <si>
    <t>津南区小站镇定鼎轩17-1、2、3-3100</t>
    <phoneticPr fontId="5" type="noConversion"/>
  </si>
  <si>
    <t>房地证津字第1120814012230号</t>
    <phoneticPr fontId="5" type="noConversion"/>
  </si>
  <si>
    <t>津南区小站镇定鼎轩17-1、2、3-3101</t>
  </si>
  <si>
    <t>房地证津字第1120814012231号</t>
    <phoneticPr fontId="5" type="noConversion"/>
  </si>
  <si>
    <t>津南区小站镇定鼎轩17-1、2、3-3102</t>
    <phoneticPr fontId="5" type="noConversion"/>
  </si>
  <si>
    <t>房地证津字第1120814012232号</t>
    <phoneticPr fontId="5" type="noConversion"/>
  </si>
  <si>
    <t>津南区小站镇定鼎轩17-1、2、3-3103</t>
  </si>
  <si>
    <t>房地证津字第1120814012233号</t>
    <phoneticPr fontId="5" type="noConversion"/>
  </si>
  <si>
    <t>津南区小站镇定鼎轩17-1、2、3-3104</t>
    <phoneticPr fontId="5" type="noConversion"/>
  </si>
  <si>
    <t>房地证津字第1120814012234号</t>
    <phoneticPr fontId="5" type="noConversion"/>
  </si>
  <si>
    <t>津南区小站镇定鼎轩17-1、2、3-3105</t>
  </si>
  <si>
    <t>房地证津字第1120814012235号</t>
    <phoneticPr fontId="5" type="noConversion"/>
  </si>
  <si>
    <t>津南区小站镇定鼎轩17-1、2、3-3106</t>
    <phoneticPr fontId="5" type="noConversion"/>
  </si>
  <si>
    <t>房地证津字第1120814012236号</t>
    <phoneticPr fontId="5" type="noConversion"/>
  </si>
  <si>
    <t>津南区小站镇定鼎轩17-1、2、3-3107</t>
  </si>
  <si>
    <t>房地证津字第1120814012237号</t>
    <phoneticPr fontId="5" type="noConversion"/>
  </si>
  <si>
    <t>津南区小站镇定鼎轩17-1、2、3-3108</t>
    <phoneticPr fontId="5" type="noConversion"/>
  </si>
  <si>
    <t>房地证津字第1120814012238号</t>
    <phoneticPr fontId="5" type="noConversion"/>
  </si>
  <si>
    <t>津南区小站镇定鼎轩17-1、2、3-3109</t>
  </si>
  <si>
    <t>房地证津字第1120814012239号</t>
    <phoneticPr fontId="5" type="noConversion"/>
  </si>
  <si>
    <t>津南区小站镇定鼎轩17-1、2、3-3110</t>
    <phoneticPr fontId="5" type="noConversion"/>
  </si>
  <si>
    <t>房地证津字第1120814012240号</t>
    <phoneticPr fontId="5" type="noConversion"/>
  </si>
  <si>
    <t>津南区小站镇定鼎轩17-1、2、3-3111</t>
  </si>
  <si>
    <t>房地证津字第1120814012241号</t>
    <phoneticPr fontId="5" type="noConversion"/>
  </si>
  <si>
    <t>津南区小站镇定鼎轩17-1、2、3-3112</t>
    <phoneticPr fontId="5" type="noConversion"/>
  </si>
  <si>
    <t>房地证津字第1120814012242号</t>
    <phoneticPr fontId="5" type="noConversion"/>
  </si>
  <si>
    <t>津南区小站镇定鼎轩17-1、2、3-3113</t>
  </si>
  <si>
    <t>房地证津字第1120814012243号</t>
    <phoneticPr fontId="5" type="noConversion"/>
  </si>
  <si>
    <t>津南区小站镇定鼎轩17-1、2、3-3114</t>
    <phoneticPr fontId="5" type="noConversion"/>
  </si>
  <si>
    <t>房地证津字第1120814012244号</t>
    <phoneticPr fontId="5" type="noConversion"/>
  </si>
  <si>
    <t>津南区小站镇定鼎轩17-1、2、3-3115</t>
  </si>
  <si>
    <t>房地证津字第1120814012245号</t>
    <phoneticPr fontId="5" type="noConversion"/>
  </si>
  <si>
    <t>津南区小站镇定鼎轩17-1、2、3-3116</t>
    <phoneticPr fontId="5" type="noConversion"/>
  </si>
  <si>
    <t>房地证津字第1120814012246号</t>
    <phoneticPr fontId="5" type="noConversion"/>
  </si>
  <si>
    <t>津南区小站镇定鼎轩17-1、2、3-3117</t>
  </si>
  <si>
    <t>房地证津字第1120814012247号</t>
    <phoneticPr fontId="5" type="noConversion"/>
  </si>
  <si>
    <t>津南区小站镇定鼎轩17-1、2、3-3118</t>
    <phoneticPr fontId="5" type="noConversion"/>
  </si>
  <si>
    <t>房地证津字第1120814012248号</t>
    <phoneticPr fontId="5" type="noConversion"/>
  </si>
  <si>
    <t>津南区小站镇定鼎轩17-1、2、3-3119</t>
  </si>
  <si>
    <t>房地证津字第1120814012249号</t>
    <phoneticPr fontId="5" type="noConversion"/>
  </si>
  <si>
    <t>津南区小站镇定鼎轩17-1、2、3-3120</t>
    <phoneticPr fontId="5" type="noConversion"/>
  </si>
  <si>
    <t>房地证津字第1120814012250号</t>
    <phoneticPr fontId="5" type="noConversion"/>
  </si>
  <si>
    <t>津南区小站镇定鼎轩17-1、2、3-3121</t>
  </si>
  <si>
    <t>房地证津字第1120814012251号</t>
    <phoneticPr fontId="5" type="noConversion"/>
  </si>
  <si>
    <t>津南区小站镇定鼎轩17-1、2、3-3122</t>
    <phoneticPr fontId="5" type="noConversion"/>
  </si>
  <si>
    <t>房地证津字第1120814012252号</t>
    <phoneticPr fontId="5" type="noConversion"/>
  </si>
  <si>
    <t>津南区小站镇定鼎轩17-1、2、3-3123</t>
  </si>
  <si>
    <t>房地证津字第1120814012253号</t>
    <phoneticPr fontId="5" type="noConversion"/>
  </si>
  <si>
    <t>津南区小站镇定鼎轩17-1、2、3-3124</t>
    <phoneticPr fontId="5" type="noConversion"/>
  </si>
  <si>
    <t>房地证津字第1120814012254号</t>
    <phoneticPr fontId="5" type="noConversion"/>
  </si>
  <si>
    <t>津南区小站镇定鼎轩17-1、2、3-3125</t>
  </si>
  <si>
    <t>房地证津字第1120814012255号</t>
    <phoneticPr fontId="5" type="noConversion"/>
  </si>
  <si>
    <t>津南区小站镇定鼎轩17-1、2、3-3126</t>
    <phoneticPr fontId="5" type="noConversion"/>
  </si>
  <si>
    <t>房地证津字第1120814012256号</t>
    <phoneticPr fontId="5" type="noConversion"/>
  </si>
  <si>
    <t>津南区小站镇定鼎轩17-1、2、3-3127</t>
  </si>
  <si>
    <t>房地证津字第1120814012257号</t>
    <phoneticPr fontId="5" type="noConversion"/>
  </si>
  <si>
    <t>津南区小站镇定鼎轩17-1、2、3-3128</t>
    <phoneticPr fontId="5" type="noConversion"/>
  </si>
  <si>
    <t>房地证津字第1120814012258号</t>
    <phoneticPr fontId="5" type="noConversion"/>
  </si>
  <si>
    <t>津南区小站镇定鼎轩17-1、2、3-3129</t>
  </si>
  <si>
    <t>房地证津字第1120814012259号</t>
    <phoneticPr fontId="5" type="noConversion"/>
  </si>
  <si>
    <t>津南区小站镇定鼎轩17-1、2、3-3130</t>
    <phoneticPr fontId="5" type="noConversion"/>
  </si>
  <si>
    <t>房地证津字第1120814012260号</t>
    <phoneticPr fontId="5" type="noConversion"/>
  </si>
  <si>
    <t>津南区小站镇定鼎轩17-1、2、3-3131</t>
  </si>
  <si>
    <t>房地证津字第1120814012261号</t>
    <phoneticPr fontId="5" type="noConversion"/>
  </si>
  <si>
    <t>津南区小站镇定鼎轩17-1、2、3-3132</t>
    <phoneticPr fontId="5" type="noConversion"/>
  </si>
  <si>
    <t>房地证津字第1120814012262号</t>
    <phoneticPr fontId="5" type="noConversion"/>
  </si>
  <si>
    <t>津南区小站镇定鼎轩17-1、2、3-3133</t>
  </si>
  <si>
    <t>房地证津字第1120814012263号</t>
    <phoneticPr fontId="5" type="noConversion"/>
  </si>
  <si>
    <t>津南区小站镇定鼎轩17-1、2、3-3134</t>
    <phoneticPr fontId="5" type="noConversion"/>
  </si>
  <si>
    <t>房地证津字第1120814012264号</t>
    <phoneticPr fontId="5" type="noConversion"/>
  </si>
  <si>
    <t>津南区小站镇定鼎轩17-1、2、3-3135</t>
  </si>
  <si>
    <t>房地证津字第1120814012265号</t>
    <phoneticPr fontId="5" type="noConversion"/>
  </si>
  <si>
    <t>津南区小站镇定鼎轩17-1、2、3-3136</t>
    <phoneticPr fontId="5" type="noConversion"/>
  </si>
  <si>
    <t>房地证津字第1120814012266号</t>
    <phoneticPr fontId="5" type="noConversion"/>
  </si>
  <si>
    <t>津南区小站镇定鼎轩17-1、2、3-3137</t>
  </si>
  <si>
    <t>房地证津字第1120814012267号</t>
    <phoneticPr fontId="5" type="noConversion"/>
  </si>
  <si>
    <t>津南区小站镇定鼎轩17-1、2、3-3138</t>
    <phoneticPr fontId="5" type="noConversion"/>
  </si>
  <si>
    <t>房地证津字第1120814012268号</t>
    <phoneticPr fontId="5" type="noConversion"/>
  </si>
  <si>
    <t>津南区小站镇定鼎轩17-1、2、3-3139</t>
  </si>
  <si>
    <t>房地证津字第1120814012269号</t>
    <phoneticPr fontId="5" type="noConversion"/>
  </si>
  <si>
    <t>津南区小站镇定鼎轩17-1、2、3-3140</t>
    <phoneticPr fontId="5" type="noConversion"/>
  </si>
  <si>
    <t>房地证津字第1120814012270号</t>
    <phoneticPr fontId="5" type="noConversion"/>
  </si>
  <si>
    <t>津南区小站镇定鼎轩17-1、2、3-3141</t>
  </si>
  <si>
    <t>房地证津字第1120814012271号</t>
    <phoneticPr fontId="5" type="noConversion"/>
  </si>
  <si>
    <t>津南区小站镇定鼎轩17-1、2、3-3142</t>
    <phoneticPr fontId="5" type="noConversion"/>
  </si>
  <si>
    <t>房地证津字第1120814012272号</t>
    <phoneticPr fontId="5" type="noConversion"/>
  </si>
  <si>
    <t>津南区小站镇定鼎轩17-1、2、3-3143</t>
  </si>
  <si>
    <t>房地证津字第1120814012273号</t>
    <phoneticPr fontId="5" type="noConversion"/>
  </si>
  <si>
    <t>津南区小站镇定鼎轩17-1、2、3-3144</t>
    <phoneticPr fontId="5" type="noConversion"/>
  </si>
  <si>
    <t>房地证津字第1120814012274号</t>
    <phoneticPr fontId="5" type="noConversion"/>
  </si>
  <si>
    <t>津南区小站镇定鼎轩17-1、2、3-3145</t>
  </si>
  <si>
    <t>房地证津字第1120814012275号</t>
    <phoneticPr fontId="5" type="noConversion"/>
  </si>
  <si>
    <t>津南区小站镇定鼎轩17-1、2、3-3146</t>
    <phoneticPr fontId="5" type="noConversion"/>
  </si>
  <si>
    <t>房地证津字第1120814012276号</t>
    <phoneticPr fontId="5" type="noConversion"/>
  </si>
  <si>
    <t>津南区小站镇定鼎轩17-1、2、3-3147</t>
  </si>
  <si>
    <t>房地证津字第1120814012277号</t>
    <phoneticPr fontId="5" type="noConversion"/>
  </si>
  <si>
    <t>津南区小站镇定鼎轩17-1、2、3-3148</t>
    <phoneticPr fontId="5" type="noConversion"/>
  </si>
  <si>
    <t>房地证津字第1120814012278号</t>
    <phoneticPr fontId="5" type="noConversion"/>
  </si>
  <si>
    <t>津南区小站镇定鼎轩17-1、2、3-3149</t>
  </si>
  <si>
    <t>房地证津字第1120814012279号</t>
    <phoneticPr fontId="5" type="noConversion"/>
  </si>
  <si>
    <t>津南区小站镇定鼎轩17-1、2、3-3150</t>
    <phoneticPr fontId="5" type="noConversion"/>
  </si>
  <si>
    <t>房地证津字第1120814012280号</t>
    <phoneticPr fontId="5" type="noConversion"/>
  </si>
  <si>
    <t>津南区小站镇定鼎轩17-1、2、3-3151</t>
  </si>
  <si>
    <t>房地证津字第1120814012281号</t>
    <phoneticPr fontId="5" type="noConversion"/>
  </si>
  <si>
    <t>津南区小站镇定鼎轩17-1、2、3-3152</t>
    <phoneticPr fontId="5" type="noConversion"/>
  </si>
  <si>
    <t>房地证津字第1120814012282号</t>
    <phoneticPr fontId="5" type="noConversion"/>
  </si>
  <si>
    <t>津南区小站镇定鼎轩17-1、2、3-3153</t>
  </si>
  <si>
    <t>房地证津字第1120814012283号</t>
    <phoneticPr fontId="5" type="noConversion"/>
  </si>
  <si>
    <t>津南区小站镇定鼎轩17-1、2、3-3154</t>
    <phoneticPr fontId="5" type="noConversion"/>
  </si>
  <si>
    <t>房地证津字第1120814012284号</t>
    <phoneticPr fontId="5" type="noConversion"/>
  </si>
  <si>
    <t>津南区小站镇定鼎轩17-1、2、3-3155</t>
  </si>
  <si>
    <t>房地证津字第1120814012285号</t>
    <phoneticPr fontId="5" type="noConversion"/>
  </si>
  <si>
    <t>津南区小站镇定鼎轩17-1、2、3-3156</t>
    <phoneticPr fontId="5" type="noConversion"/>
  </si>
  <si>
    <t>房地证津字第1120814012286号</t>
    <phoneticPr fontId="5" type="noConversion"/>
  </si>
  <si>
    <t>津南区小站镇定鼎轩17-1、2、3-3157</t>
  </si>
  <si>
    <t>房地证津字第1120814012287号</t>
    <phoneticPr fontId="5" type="noConversion"/>
  </si>
  <si>
    <t>津南区小站镇定鼎轩17-1、2、3-3158</t>
    <phoneticPr fontId="5" type="noConversion"/>
  </si>
  <si>
    <t>房地证津字第1120814012288号</t>
    <phoneticPr fontId="5" type="noConversion"/>
  </si>
  <si>
    <t>津南区小站镇定鼎轩17-1、2、3-3159</t>
  </si>
  <si>
    <t>房地证津字第1120814012289号</t>
    <phoneticPr fontId="5" type="noConversion"/>
  </si>
  <si>
    <t>津南区小站镇定鼎轩17-1、2、3-3160</t>
    <phoneticPr fontId="5" type="noConversion"/>
  </si>
  <si>
    <t>房地证津字第1120814012290号</t>
    <phoneticPr fontId="5" type="noConversion"/>
  </si>
  <si>
    <t>津南区小站镇定鼎轩17-1、2、3-3161</t>
  </si>
  <si>
    <t>房地证津字第1120814012291号</t>
    <phoneticPr fontId="5" type="noConversion"/>
  </si>
  <si>
    <t>津南区小站镇定鼎轩17-1、2、3-3162</t>
    <phoneticPr fontId="5" type="noConversion"/>
  </si>
  <si>
    <t>房地证津字第1120814012292号</t>
    <phoneticPr fontId="5" type="noConversion"/>
  </si>
  <si>
    <t>津南区小站镇定鼎轩17-1、2、3-3163</t>
  </si>
  <si>
    <t>房地证津字第1120814012293号</t>
    <phoneticPr fontId="5" type="noConversion"/>
  </si>
  <si>
    <t>津南区小站镇定鼎轩17-1、2、3-3164</t>
    <phoneticPr fontId="5" type="noConversion"/>
  </si>
  <si>
    <t>房地证津字第1120814012294号</t>
    <phoneticPr fontId="5" type="noConversion"/>
  </si>
  <si>
    <t>津南区小站镇定鼎轩17-1、2、3-3165</t>
  </si>
  <si>
    <t>房地证津字第1120814012295号</t>
    <phoneticPr fontId="5" type="noConversion"/>
  </si>
  <si>
    <t>津南区小站镇定鼎轩17-1、2、3-3166</t>
    <phoneticPr fontId="5" type="noConversion"/>
  </si>
  <si>
    <t>房地证津字第1120814012296号</t>
    <phoneticPr fontId="5" type="noConversion"/>
  </si>
  <si>
    <t>津南区小站镇定鼎轩17-1、2、3-3167</t>
  </si>
  <si>
    <t>房地证津字第1120814012297号</t>
    <phoneticPr fontId="5" type="noConversion"/>
  </si>
  <si>
    <t>合计</t>
    <phoneticPr fontId="5" type="noConversion"/>
  </si>
  <si>
    <t>一层面积</t>
    <phoneticPr fontId="5" type="noConversion"/>
  </si>
  <si>
    <t>三层面积</t>
    <phoneticPr fontId="5" type="noConversion"/>
  </si>
  <si>
    <t>地上</t>
  </si>
  <si>
    <t>是</t>
  </si>
  <si>
    <t>基准商业</t>
  </si>
  <si>
    <t>基准商业</t>
    <phoneticPr fontId="9" type="noConversion"/>
  </si>
  <si>
    <t>其余</t>
    <phoneticPr fontId="9" type="noConversion"/>
  </si>
  <si>
    <t>成新度</t>
  </si>
  <si>
    <t>收益法</t>
  </si>
  <si>
    <t>钢混</t>
  </si>
  <si>
    <t>非生产用房</t>
  </si>
  <si>
    <t>押一</t>
  </si>
  <si>
    <t>按租金收入计税</t>
  </si>
  <si>
    <t>比较法-商业</t>
  </si>
  <si>
    <t>现房</t>
  </si>
  <si>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</si>
  <si>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</si>
  <si>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</si>
  <si>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t>1层</t>
  </si>
  <si>
    <t>3层</t>
  </si>
  <si>
    <t>2层</t>
  </si>
  <si>
    <r>
      <t>1-3</t>
    </r>
    <r>
      <rPr>
        <sz val="10"/>
        <color indexed="8"/>
        <rFont val="宋体"/>
        <family val="3"/>
        <charset val="134"/>
      </rPr>
      <t>层</t>
    </r>
    <phoneticPr fontId="27" type="noConversion"/>
  </si>
  <si>
    <t>1-3层</t>
  </si>
  <si>
    <r>
      <t>津（</t>
    </r>
    <r>
      <rPr>
        <sz val="10"/>
        <rFont val="Times New Roman"/>
        <family val="1"/>
      </rPr>
      <t>2016</t>
    </r>
    <r>
      <rPr>
        <sz val="10"/>
        <rFont val="宋体"/>
        <family val="3"/>
        <charset val="134"/>
      </rPr>
      <t>）津南区不动产权第</t>
    </r>
    <r>
      <rPr>
        <sz val="10"/>
        <rFont val="Times New Roman"/>
        <family val="1"/>
      </rPr>
      <t>1006933</t>
    </r>
    <r>
      <rPr>
        <sz val="10"/>
        <rFont val="宋体"/>
        <family val="3"/>
        <charset val="134"/>
      </rPr>
      <t>号</t>
    </r>
    <phoneticPr fontId="145" type="noConversion"/>
  </si>
  <si>
    <r>
      <t>1-2</t>
    </r>
    <r>
      <rPr>
        <sz val="10"/>
        <color indexed="8"/>
        <rFont val="宋体"/>
        <family val="3"/>
        <charset val="134"/>
      </rPr>
      <t>层</t>
    </r>
    <phoneticPr fontId="27" type="noConversion"/>
  </si>
  <si>
    <t>1-2层</t>
  </si>
  <si>
    <r>
      <t>津南区小站镇定鼎轩</t>
    </r>
    <r>
      <rPr>
        <sz val="10"/>
        <rFont val="Times New Roman"/>
        <family val="1"/>
      </rPr>
      <t>14-16#</t>
    </r>
    <r>
      <rPr>
        <sz val="10"/>
        <rFont val="宋体"/>
        <family val="3"/>
        <charset val="134"/>
      </rPr>
      <t>楼</t>
    </r>
    <r>
      <rPr>
        <sz val="10"/>
        <rFont val="Times New Roman"/>
        <family val="1"/>
      </rPr>
      <t>-14-1</t>
    </r>
    <r>
      <rPr>
        <sz val="10"/>
        <rFont val="宋体"/>
        <family val="3"/>
        <charset val="134"/>
      </rPr>
      <t>号</t>
    </r>
    <phoneticPr fontId="1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</si>
</sst>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Times New Roman"/>
      <family val="1"/>
    </font>
    <font>
      <sz val="10"/>
      <name val="Times New Roman"/>
      <family val="1"/>
    </font>
    <font>
      <b/>
      <sz val="10.5"/>
      <name val="宋体"/>
      <family val="3"/>
      <charset val="134"/>
    </font>
    <font>
      <sz val="9"/>
      <name val="宋体"/>
      <family val="2"/>
      <charset val="134"/>
      <scheme val="minor"/>
    </font>
    <font>
      <sz val="10"/>
      <name val="Calibri"/>
      <family val="2"/>
    </font>
    <font>
      <sz val="11"/>
      <name val="宋体"/>
      <family val="2"/>
      <charset val="134"/>
      <scheme val="minor"/>
    </font>
    <font>
      <b/>
      <sz val="10"/>
      <name val="Times New Roman"/>
      <family val="1"/>
    </font>
    <font>
      <sz val="10"/>
      <color theme="1"/>
      <name val="Times New Roman"/>
      <family val="1"/>
    </font>
    <font>
      <sz val="18"/>
      <name val="隶书"/>
      <family val="3"/>
      <charset val="134"/>
    </font>
    <font>
      <sz val="10.5"/>
      <name val="隶书"/>
      <family val="3"/>
      <charset val="134"/>
    </font>
    <font>
      <sz val="12"/>
      <name val="隶书"/>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3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154" fillId="12" borderId="126" xfId="9" applyFont="1" applyFill="1" applyBorder="1" applyAlignment="1" applyProtection="1">
      <alignment horizontal="center" vertical="center" wrapText="1"/>
    </xf>
    <xf numFmtId="0" fontId="192" fillId="7" borderId="60" xfId="0" applyFont="1" applyFill="1" applyBorder="1" applyAlignment="1" applyProtection="1">
      <alignment vertical="center" wrapText="1"/>
      <protection locked="0"/>
    </xf>
    <xf numFmtId="0" fontId="2" fillId="0" borderId="0" xfId="13" applyBorder="1" applyAlignment="1">
      <alignment horizontal="left" vertical="center"/>
    </xf>
    <xf numFmtId="0" fontId="2" fillId="0" borderId="0" xfId="13">
      <alignment vertical="center"/>
    </xf>
    <xf numFmtId="0" fontId="204" fillId="0" borderId="82" xfId="13" applyFont="1" applyBorder="1" applyAlignment="1">
      <alignment horizontal="left" vertical="center" wrapText="1"/>
    </xf>
    <xf numFmtId="0" fontId="204" fillId="0" borderId="65" xfId="13" applyFont="1" applyBorder="1" applyAlignment="1">
      <alignment horizontal="left" vertical="center" wrapText="1"/>
    </xf>
    <xf numFmtId="0" fontId="204" fillId="0" borderId="65" xfId="13" applyFont="1" applyBorder="1" applyAlignment="1">
      <alignment horizontal="center" vertical="center" wrapText="1"/>
    </xf>
    <xf numFmtId="0" fontId="257" fillId="0" borderId="81" xfId="13" applyFont="1" applyBorder="1" applyAlignment="1">
      <alignment horizontal="left" vertical="center" wrapText="1"/>
    </xf>
    <xf numFmtId="0" fontId="21" fillId="0" borderId="43" xfId="13" applyFont="1" applyBorder="1" applyAlignment="1">
      <alignment horizontal="left" vertical="center" wrapText="1"/>
    </xf>
    <xf numFmtId="0" fontId="257" fillId="0" borderId="43" xfId="13" applyFont="1" applyBorder="1" applyAlignment="1">
      <alignment horizontal="left" vertical="center" wrapText="1"/>
    </xf>
    <xf numFmtId="0" fontId="100" fillId="0" borderId="43" xfId="13" applyFont="1" applyBorder="1" applyAlignment="1">
      <alignment horizontal="left" vertical="center" wrapText="1"/>
    </xf>
    <xf numFmtId="0" fontId="260" fillId="0" borderId="43" xfId="13" applyFont="1" applyBorder="1" applyAlignment="1">
      <alignment horizontal="left" vertical="center" wrapText="1"/>
    </xf>
    <xf numFmtId="0" fontId="258" fillId="0" borderId="56" xfId="13" applyFont="1" applyBorder="1" applyAlignment="1">
      <alignment horizontal="left" vertical="center" wrapText="1"/>
    </xf>
    <xf numFmtId="0" fontId="100" fillId="0" borderId="43" xfId="13" applyFont="1" applyBorder="1" applyAlignment="1">
      <alignment horizontal="left" vertical="top" wrapText="1"/>
    </xf>
    <xf numFmtId="0" fontId="100" fillId="0" borderId="56" xfId="13" applyFont="1" applyBorder="1" applyAlignment="1">
      <alignment horizontal="left" vertical="center" wrapText="1"/>
    </xf>
    <xf numFmtId="0" fontId="261" fillId="0" borderId="56" xfId="13" applyFont="1" applyBorder="1" applyAlignment="1">
      <alignment horizontal="left" vertical="center" wrapText="1"/>
    </xf>
    <xf numFmtId="0" fontId="86" fillId="0" borderId="43" xfId="13" applyFont="1" applyBorder="1" applyAlignment="1">
      <alignment horizontal="left" vertical="center" wrapText="1"/>
    </xf>
    <xf numFmtId="0" fontId="262" fillId="0" borderId="43" xfId="13" applyFont="1" applyBorder="1" applyAlignment="1">
      <alignment horizontal="left" vertical="center" wrapText="1"/>
    </xf>
    <xf numFmtId="0" fontId="261" fillId="0" borderId="43" xfId="13" applyFont="1" applyBorder="1" applyAlignment="1">
      <alignment horizontal="left" vertical="center" wrapText="1"/>
    </xf>
    <xf numFmtId="0" fontId="204" fillId="0" borderId="56" xfId="13" applyFont="1" applyBorder="1" applyAlignment="1">
      <alignment horizontal="left" vertical="center" wrapText="1"/>
    </xf>
    <xf numFmtId="0" fontId="86" fillId="0" borderId="56" xfId="13" applyFont="1" applyBorder="1" applyAlignment="1">
      <alignment horizontal="left" vertical="center" wrapText="1"/>
    </xf>
    <xf numFmtId="0" fontId="100" fillId="0" borderId="56" xfId="13" applyFont="1" applyBorder="1" applyAlignment="1">
      <alignment horizontal="left" vertical="top" wrapText="1"/>
    </xf>
    <xf numFmtId="0" fontId="261" fillId="0" borderId="56" xfId="13" applyFont="1" applyBorder="1" applyAlignment="1">
      <alignment horizontal="left" vertical="top" wrapText="1"/>
    </xf>
    <xf numFmtId="0" fontId="261" fillId="0" borderId="43" xfId="13" applyFont="1" applyBorder="1" applyAlignment="1">
      <alignment horizontal="left" vertical="top" wrapText="1"/>
    </xf>
    <xf numFmtId="0" fontId="21" fillId="0" borderId="81" xfId="13" applyFont="1" applyBorder="1" applyAlignment="1">
      <alignment horizontal="left" vertical="center" wrapText="1"/>
    </xf>
    <xf numFmtId="4" fontId="257" fillId="0" borderId="43" xfId="13" applyNumberFormat="1" applyFont="1" applyBorder="1" applyAlignment="1">
      <alignment horizontal="left" vertical="center" wrapText="1"/>
    </xf>
    <xf numFmtId="0" fontId="263" fillId="0" borderId="0" xfId="13" applyFont="1" applyBorder="1" applyAlignment="1">
      <alignment horizontal="left" vertical="center" wrapText="1"/>
    </xf>
    <xf numFmtId="0" fontId="147" fillId="0" borderId="0" xfId="13" applyFont="1" applyBorder="1" applyAlignment="1">
      <alignment horizontal="left" vertical="center" wrapText="1"/>
    </xf>
    <xf numFmtId="0" fontId="263" fillId="0" borderId="0" xfId="13" applyFont="1" applyFill="1" applyBorder="1" applyAlignment="1">
      <alignment horizontal="left" vertical="center" wrapText="1"/>
    </xf>
    <xf numFmtId="0" fontId="2" fillId="0" borderId="0" xfId="13" applyAlignment="1">
      <alignment horizontal="left" vertical="center"/>
    </xf>
    <xf numFmtId="0" fontId="2" fillId="0" borderId="0" xfId="13" applyAlignment="1">
      <alignment horizontal="left" vertical="center" wrapText="1"/>
    </xf>
    <xf numFmtId="0" fontId="2" fillId="0" borderId="0" xfId="13" applyFill="1" applyAlignment="1">
      <alignment horizontal="left" vertical="center"/>
    </xf>
    <xf numFmtId="0" fontId="2" fillId="0" borderId="1" xfId="13" applyBorder="1" applyAlignment="1">
      <alignment horizontal="left" vertical="center"/>
    </xf>
    <xf numFmtId="0" fontId="2" fillId="0" borderId="1" xfId="13" applyBorder="1" applyAlignment="1">
      <alignment horizontal="left" vertical="center" wrapText="1"/>
    </xf>
    <xf numFmtId="0" fontId="2" fillId="0" borderId="1" xfId="13" applyFill="1" applyBorder="1" applyAlignment="1">
      <alignment horizontal="left" vertical="center"/>
    </xf>
    <xf numFmtId="0" fontId="102" fillId="0" borderId="1" xfId="13" applyFont="1" applyBorder="1" applyAlignment="1">
      <alignment horizontal="left" vertical="center"/>
    </xf>
    <xf numFmtId="0" fontId="265" fillId="0" borderId="1" xfId="13" applyFont="1" applyFill="1" applyBorder="1" applyAlignment="1">
      <alignment horizontal="left" wrapText="1"/>
    </xf>
    <xf numFmtId="0" fontId="2" fillId="0" borderId="1" xfId="13" applyFont="1" applyBorder="1" applyAlignment="1">
      <alignment horizontal="left"/>
    </xf>
    <xf numFmtId="0" fontId="39" fillId="0" borderId="1" xfId="13" applyFont="1" applyBorder="1" applyAlignment="1">
      <alignment horizontal="left" wrapText="1"/>
    </xf>
    <xf numFmtId="0" fontId="2" fillId="0" borderId="1" xfId="13" applyNumberFormat="1" applyFont="1" applyFill="1" applyBorder="1" applyAlignment="1" applyProtection="1">
      <alignment horizontal="left"/>
    </xf>
    <xf numFmtId="0" fontId="2" fillId="0" borderId="1" xfId="13" applyNumberFormat="1" applyFont="1" applyBorder="1" applyAlignment="1">
      <alignment horizontal="left"/>
    </xf>
    <xf numFmtId="0" fontId="2" fillId="0" borderId="1" xfId="13" applyFont="1" applyBorder="1" applyAlignment="1">
      <alignment horizontal="left" wrapText="1"/>
    </xf>
    <xf numFmtId="0" fontId="2" fillId="7" borderId="1" xfId="13" applyFill="1" applyBorder="1" applyAlignment="1">
      <alignment horizontal="left" wrapText="1"/>
    </xf>
    <xf numFmtId="0" fontId="2" fillId="7" borderId="1" xfId="13" applyNumberFormat="1" applyFont="1" applyFill="1" applyBorder="1" applyAlignment="1">
      <alignment horizontal="left"/>
    </xf>
    <xf numFmtId="179" fontId="2" fillId="0" borderId="1" xfId="13" applyNumberFormat="1" applyFont="1" applyFill="1" applyBorder="1" applyAlignment="1" applyProtection="1">
      <alignment horizontal="left"/>
    </xf>
    <xf numFmtId="0" fontId="2" fillId="0" borderId="0" xfId="13" applyNumberFormat="1" applyFont="1" applyBorder="1" applyAlignment="1">
      <alignment horizontal="left"/>
    </xf>
    <xf numFmtId="0" fontId="266" fillId="0" borderId="1" xfId="13" applyFont="1" applyFill="1" applyBorder="1" applyAlignment="1">
      <alignment horizontal="left" wrapText="1"/>
    </xf>
    <xf numFmtId="0" fontId="266" fillId="0" borderId="0" xfId="13" applyFont="1" applyFill="1" applyAlignment="1">
      <alignment horizontal="left" wrapText="1"/>
    </xf>
    <xf numFmtId="177" fontId="82" fillId="0" borderId="1" xfId="1" applyNumberFormat="1" applyFont="1" applyFill="1" applyBorder="1" applyAlignment="1" applyProtection="1">
      <alignment vertical="center"/>
      <protection locked="0" hidden="1"/>
    </xf>
    <xf numFmtId="0" fontId="257" fillId="0" borderId="43" xfId="13" applyFont="1" applyBorder="1" applyAlignment="1" applyProtection="1">
      <alignment horizontal="left" vertical="center" wrapText="1"/>
      <protection locked="0"/>
    </xf>
    <xf numFmtId="0" fontId="260" fillId="0" borderId="43" xfId="13" applyFont="1" applyBorder="1" applyAlignment="1" applyProtection="1">
      <alignment horizontal="left" vertical="center" wrapText="1"/>
      <protection locked="0"/>
    </xf>
    <xf numFmtId="0" fontId="262" fillId="0" borderId="43" xfId="13" applyFont="1" applyBorder="1" applyAlignment="1" applyProtection="1">
      <alignment horizontal="left"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207" fillId="0" borderId="0" xfId="13" applyFont="1" applyBorder="1" applyAlignment="1">
      <alignment horizontal="left" vertical="center" wrapText="1"/>
    </xf>
    <xf numFmtId="0" fontId="258" fillId="0" borderId="27" xfId="13" applyFont="1" applyBorder="1" applyAlignment="1">
      <alignment horizontal="left" vertical="center" wrapText="1"/>
    </xf>
    <xf numFmtId="0" fontId="258" fillId="0" borderId="80" xfId="13" applyFont="1" applyBorder="1" applyAlignment="1">
      <alignment horizontal="left" vertical="center" wrapText="1"/>
    </xf>
    <xf numFmtId="0" fontId="258" fillId="0" borderId="81" xfId="13" applyFont="1" applyBorder="1" applyAlignment="1">
      <alignment horizontal="left" vertical="center" wrapText="1"/>
    </xf>
    <xf numFmtId="0" fontId="100" fillId="0" borderId="27" xfId="13" applyFont="1" applyBorder="1" applyAlignment="1">
      <alignment horizontal="left" vertical="center" wrapText="1"/>
    </xf>
    <xf numFmtId="0" fontId="100" fillId="0" borderId="80" xfId="13" applyFont="1" applyBorder="1" applyAlignment="1">
      <alignment horizontal="left" vertical="center" wrapText="1"/>
    </xf>
    <xf numFmtId="0" fontId="100" fillId="0" borderId="81" xfId="13" applyFont="1" applyBorder="1" applyAlignment="1">
      <alignment horizontal="left" vertical="center" wrapText="1"/>
    </xf>
    <xf numFmtId="0" fontId="264" fillId="0" borderId="5" xfId="13" applyFont="1" applyFill="1" applyBorder="1" applyAlignment="1">
      <alignment horizontal="left" wrapText="1"/>
    </xf>
    <xf numFmtId="0" fontId="264" fillId="0" borderId="54" xfId="13" applyFont="1" applyFill="1" applyBorder="1" applyAlignment="1">
      <alignment horizontal="left" wrapText="1"/>
    </xf>
    <xf numFmtId="0" fontId="264" fillId="0" borderId="3" xfId="13" applyFont="1" applyFill="1" applyBorder="1" applyAlignment="1">
      <alignment horizontal="left"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 fillId="0" borderId="1" xfId="13" applyFont="1" applyBorder="1" applyAlignment="1">
      <alignment horizontal="left"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天津市预评估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受贵公司委托，我公司对天津市进行了预评估。</v>
      </c>
    </row>
    <row r="7" spans="1:2" s="1596" customFormat="1">
      <c r="A7" s="1594" t="s">
        <v>1264</v>
      </c>
      <c r="B7" s="1595" t="str">
        <f>'预评函-1'!A7</f>
        <v>估价对象为天津市房地产，为所有。根据《国有土地使用证》[]，估价对象（分摊）出让国有建设用地使用权面积为0平方米，建筑面积为25223.16平方米。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估价对象为天津市房地产,属开发建设的，该项目尚在开发建设中。根据《国有土地使用证》[]，估价对象（分摊）出让国有建设用地使用权面积为0平方米，规划建筑面积为25223.16平方米。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2018年9月19日</v>
      </c>
    </row>
    <row r="13" spans="1:2" s="1596" customFormat="1">
      <c r="A13" s="1594" t="s">
        <v>1227</v>
      </c>
      <c r="B13" s="1595" t="str">
        <f>'预评函-1'!A18</f>
        <v>本次估价的“房地产价值”是指在正常市场情况下，在价值时点2018年9月19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214</v>
      </c>
    </row>
    <row r="21" spans="1:2" s="1596" customFormat="1">
      <c r="A21" s="1594" t="s">
        <v>1235</v>
      </c>
      <c r="B21" s="1595">
        <f ca="1">'预评函-2'!D7</f>
        <v>85</v>
      </c>
    </row>
    <row r="22" spans="1:2" s="1596" customFormat="1">
      <c r="A22" s="1594" t="s">
        <v>1236</v>
      </c>
      <c r="B22" s="1595" t="str">
        <f ca="1">'预评函-2'!D6</f>
        <v>贰佰壹拾肆万元整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214</v>
      </c>
    </row>
    <row r="31" spans="1:2" s="1596" customFormat="1">
      <c r="A31" s="1594" t="s">
        <v>1274</v>
      </c>
      <c r="B31" s="1595">
        <f ca="1">'预评函-2'!D15</f>
        <v>85</v>
      </c>
    </row>
    <row r="32" spans="1:2" s="1596" customFormat="1">
      <c r="A32" s="1594" t="s">
        <v>1241</v>
      </c>
      <c r="B32" s="1595" t="str">
        <f ca="1">'预评函-2'!D14</f>
        <v>贰佰壹拾肆万元整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天津市房地产</v>
      </c>
    </row>
    <row r="42" spans="1:2" s="1596" customFormat="1">
      <c r="A42" s="1594" t="s">
        <v>1288</v>
      </c>
      <c r="B42" s="1595" t="str">
        <f>'预评函-3'!B2</f>
        <v>建筑面积</v>
      </c>
    </row>
    <row r="43" spans="1:2" s="1596" customFormat="1">
      <c r="A43" s="1594" t="s">
        <v>1289</v>
      </c>
      <c r="B43" s="1595">
        <f>'预评函-3'!B4</f>
        <v>25223.160000000011</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27" sqref="AD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1281</v>
      </c>
    </row>
    <row r="55" spans="1:4">
      <c r="A55" s="3042"/>
      <c r="B55" s="2025" t="s">
        <v>865</v>
      </c>
      <c r="C55" s="2022" t="s">
        <v>1282</v>
      </c>
    </row>
    <row r="56" spans="1:4">
      <c r="A56" s="3042"/>
      <c r="B56" s="2025" t="s">
        <v>866</v>
      </c>
      <c r="C56" s="2022" t="s">
        <v>1286</v>
      </c>
    </row>
    <row r="57" spans="1:4">
      <c r="A57" s="304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2" sqref="B1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1" t="str">
        <f>IF(B10="北京市","北京市",C10)&amp;F10&amp;IF(结果表!G1="在建","出让国有建设用地使用权及在建建筑物",IF(结果表!G1="土地","出让国有建设用地使用权",))&amp;B9&amp;"预评估"</f>
        <v>天津市预评估</v>
      </c>
      <c r="C1" s="3052"/>
      <c r="D1" s="3052"/>
      <c r="E1" s="3052"/>
      <c r="F1" s="3052"/>
      <c r="G1" s="3052"/>
      <c r="H1" s="3052"/>
      <c r="I1" s="305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天津市</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天津市房地产</v>
      </c>
    </row>
    <row r="3" spans="1:19" ht="18" customHeight="1">
      <c r="A3" s="2038" t="s">
        <v>1778</v>
      </c>
      <c r="B3" s="2039"/>
      <c r="C3" s="2040" t="s">
        <v>1779</v>
      </c>
      <c r="D3" s="2039">
        <v>43362</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3054"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3055"/>
      <c r="E9" s="2062"/>
      <c r="F9" s="2064"/>
      <c r="G9" s="2065"/>
      <c r="H9" s="2065"/>
      <c r="I9" s="2065"/>
      <c r="J9" s="2045"/>
      <c r="K9" s="2057"/>
      <c r="L9" s="2031"/>
      <c r="M9" s="2031"/>
      <c r="N9" s="2032"/>
      <c r="O9" s="2033"/>
      <c r="P9" s="2032"/>
      <c r="Q9" s="2032"/>
      <c r="R9" s="2032"/>
    </row>
    <row r="10" spans="1:19" ht="18" customHeight="1" thickTop="1">
      <c r="A10" s="2066" t="s">
        <v>1787</v>
      </c>
      <c r="B10" s="2067" t="s">
        <v>3053</v>
      </c>
      <c r="C10" s="2948" t="s">
        <v>3054</v>
      </c>
      <c r="D10" s="2050"/>
      <c r="E10" s="2068" t="s">
        <v>1788</v>
      </c>
      <c r="F10" s="2069"/>
      <c r="G10" s="2070"/>
      <c r="H10" s="2071"/>
      <c r="I10" s="2050"/>
      <c r="J10" s="2045"/>
      <c r="K10" s="2057"/>
      <c r="L10" s="2031"/>
      <c r="M10" s="2031"/>
      <c r="N10" s="2032"/>
      <c r="O10" s="2033"/>
      <c r="P10" s="2032"/>
      <c r="Q10" s="2032"/>
      <c r="R10" s="2032"/>
    </row>
    <row r="11" spans="1:19" ht="18" customHeight="1">
      <c r="A11" s="2072" t="s">
        <v>1789</v>
      </c>
      <c r="B11" s="2073"/>
      <c r="C11" s="2074"/>
      <c r="D11" s="2075"/>
      <c r="E11" s="2045"/>
      <c r="F11" s="2045"/>
      <c r="G11" s="2045"/>
      <c r="H11" s="2045"/>
      <c r="I11" s="2045"/>
      <c r="J11" s="2045"/>
      <c r="K11" s="2057"/>
      <c r="L11" s="2031"/>
      <c r="M11" s="2031"/>
      <c r="N11" s="2032"/>
      <c r="O11" s="2033"/>
      <c r="P11" s="2032"/>
      <c r="Q11" s="2032"/>
      <c r="R11" s="2032"/>
    </row>
    <row r="12" spans="1:19" ht="18" customHeight="1">
      <c r="A12" s="2076" t="s">
        <v>1790</v>
      </c>
      <c r="B12" s="2073" t="s">
        <v>3055</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54339</v>
      </c>
      <c r="F13" s="2082"/>
      <c r="G13" s="2082"/>
      <c r="H13" s="2082"/>
      <c r="I13" s="1050"/>
      <c r="J13" s="2045"/>
      <c r="K13" s="2057"/>
      <c r="L13" s="2031"/>
      <c r="M13" s="2031"/>
      <c r="N13" s="2032"/>
      <c r="O13" s="2033"/>
      <c r="P13" s="2032"/>
      <c r="Q13" s="2032"/>
      <c r="R13" s="2032"/>
    </row>
    <row r="14" spans="1:19" ht="18" customHeight="1">
      <c r="A14" s="2079"/>
      <c r="B14" s="2080"/>
      <c r="C14" s="2081" t="s">
        <v>1799</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f>IF(B12="出让",IF(E13="","",ROUNDDOWN(MIN((E13-$D$3)/365,E14),2)),E14)</f>
        <v>30.07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61"/>
      <c r="C16" s="3062"/>
      <c r="D16" s="3063"/>
      <c r="E16" s="2088" t="s">
        <v>1802</v>
      </c>
      <c r="F16" s="3064"/>
      <c r="G16" s="3065"/>
      <c r="H16" s="3065"/>
      <c r="I16" s="3066"/>
      <c r="J16" s="2032"/>
      <c r="K16" s="2085"/>
      <c r="L16" s="2086"/>
      <c r="M16" s="2086"/>
      <c r="N16" s="2087"/>
      <c r="O16" s="2086"/>
      <c r="P16" s="2087"/>
      <c r="Q16" s="2032"/>
      <c r="R16" s="2032"/>
    </row>
    <row r="17" spans="1:22" ht="18" customHeight="1">
      <c r="A17" s="2089" t="s">
        <v>1803</v>
      </c>
      <c r="B17" s="2038" t="s">
        <v>1804</v>
      </c>
      <c r="C17" s="1057">
        <f>'数据-汇总表'!E3</f>
        <v>25223.160000000011</v>
      </c>
      <c r="D17" s="2090" t="s">
        <v>1805</v>
      </c>
      <c r="E17" s="3067" t="s">
        <v>1806</v>
      </c>
      <c r="F17" s="3068"/>
      <c r="G17" s="3068"/>
      <c r="H17" s="3068"/>
      <c r="I17" s="3069"/>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0</v>
      </c>
      <c r="D18" s="2093" t="s">
        <v>1805</v>
      </c>
      <c r="E18" s="3070" t="s">
        <v>1809</v>
      </c>
      <c r="F18" s="3071"/>
      <c r="G18" s="3071"/>
      <c r="H18" s="3071"/>
      <c r="I18" s="3072"/>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57" t="s">
        <v>1814</v>
      </c>
      <c r="C20" s="3058"/>
      <c r="D20" s="3059" t="s">
        <v>1815</v>
      </c>
      <c r="E20" s="3060"/>
      <c r="F20" s="2100" t="s">
        <v>1816</v>
      </c>
      <c r="G20" s="2045"/>
      <c r="H20" s="2045"/>
      <c r="I20" s="2045"/>
      <c r="J20" s="2045"/>
      <c r="K20" s="305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44"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4"/>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4"/>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5"/>
      <c r="B30" s="2038" t="s">
        <v>1833</v>
      </c>
      <c r="C30" s="3046"/>
      <c r="D30" s="304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8" t="s">
        <v>1834</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9"/>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9"/>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43" t="s">
        <v>1843</v>
      </c>
      <c r="T34" s="2137" t="str">
        <f>NUMBERSTRING(7-K34,1)&amp;"通"</f>
        <v>七通</v>
      </c>
      <c r="U34" s="2032"/>
      <c r="V34" s="2032"/>
    </row>
    <row r="35" spans="1:22" ht="18" customHeight="1">
      <c r="A35" s="2138"/>
      <c r="B35" s="3050" t="s">
        <v>1844</v>
      </c>
      <c r="C35" s="3050"/>
      <c r="D35" s="3050"/>
      <c r="E35" s="3050"/>
      <c r="F35" s="2139" t="str">
        <f>C10</f>
        <v>天津市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25223.160000000011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25223.160000000011</v>
      </c>
      <c r="H5" s="16">
        <f t="shared" ref="H5:AT5" si="0">SUM(H13:H656)</f>
        <v>25223.160000000011</v>
      </c>
      <c r="I5" s="16">
        <f t="shared" si="0"/>
        <v>21250.290000000012</v>
      </c>
      <c r="J5" s="16">
        <f t="shared" si="0"/>
        <v>0</v>
      </c>
      <c r="K5" s="16">
        <f t="shared" si="0"/>
        <v>3972.87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25223.160000000011</v>
      </c>
      <c r="BA5" s="18">
        <f t="shared" si="1"/>
        <v>25223.160000000011</v>
      </c>
      <c r="BB5" s="18">
        <f t="shared" si="1"/>
        <v>21250.290000000012</v>
      </c>
      <c r="BC5" s="18">
        <f t="shared" si="1"/>
        <v>3972.87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3896</v>
      </c>
      <c r="J9" s="984"/>
      <c r="K9" s="2194" t="s">
        <v>3896</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3897</v>
      </c>
      <c r="E13" s="16">
        <f>IF($C$3="是",ROUND($A$3*G13/$B$3,2),ROUND($A$3*(G13-AT13)/$B$3,2))</f>
        <v>0</v>
      </c>
      <c r="F13" s="32"/>
      <c r="G13" s="33">
        <f>H13+AC13+AT13</f>
        <v>21250.290000000012</v>
      </c>
      <c r="H13" s="20">
        <f>SUMIF(I$12:AB$12,"总值",I13:AB13)</f>
        <v>21250.290000000012</v>
      </c>
      <c r="I13" s="2217">
        <f>抵押物清单!D74+抵押物清单!C419</f>
        <v>21250.290000000012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9">
        <f>ROUND($AY$6*AZ13/$AZ$5,2)</f>
        <v>0</v>
      </c>
      <c r="AZ13" s="16">
        <f>BA13+BL13</f>
        <v>21250.290000000012</v>
      </c>
      <c r="BA13" s="16">
        <f>SUM(BB13:BK13)</f>
        <v>21250.290000000012</v>
      </c>
      <c r="BB13" s="16">
        <f>IF($D13="是",I13-J13,0)</f>
        <v>21250.290000000012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t="s">
        <v>3897</v>
      </c>
      <c r="E14" s="16">
        <f>IF($C$3="是",ROUND($A$3*G14/$B$3,2),ROUND($A$3*(G14-AT14)/$B$3,2))</f>
        <v>0</v>
      </c>
      <c r="F14" s="32"/>
      <c r="G14" s="33">
        <f>H14+AC14+AT14</f>
        <v>3972.87</v>
      </c>
      <c r="H14" s="20">
        <f>SUMIF(I$12:AB$12,"总值",I14:AB14)</f>
        <v>3972.87</v>
      </c>
      <c r="I14" s="2217"/>
      <c r="J14" s="2217"/>
      <c r="K14" s="2217">
        <f>1897.81+519.39+1555.67</f>
        <v>3972.87</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3972.87</v>
      </c>
      <c r="BA14" s="16">
        <f>SUM(BB14:BK14)</f>
        <v>3972.87</v>
      </c>
      <c r="BB14" s="16">
        <f>IF($D14="是",I14-J14,0)</f>
        <v>0</v>
      </c>
      <c r="BC14" s="16">
        <f>IF($D14="是",K14-L14,0)</f>
        <v>3972.87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84" t="s">
        <v>1940</v>
      </c>
      <c r="B2" s="3084"/>
      <c r="C2" s="3084"/>
      <c r="D2" s="970" t="s">
        <v>1916</v>
      </c>
      <c r="E2" s="2230" t="s">
        <v>1917</v>
      </c>
      <c r="F2" s="1395"/>
      <c r="G2" s="2231"/>
      <c r="H2" s="2232"/>
      <c r="I2" s="2233" t="s">
        <v>1941</v>
      </c>
      <c r="J2" s="1395"/>
      <c r="K2" s="1395"/>
      <c r="L2" s="1395"/>
      <c r="M2" s="1395"/>
      <c r="N2" s="1430"/>
      <c r="O2" s="1395"/>
      <c r="P2" s="1395"/>
    </row>
    <row r="3" spans="1:16" ht="15.75" thickBot="1">
      <c r="A3" s="3085" t="s">
        <v>1914</v>
      </c>
      <c r="B3" s="3085"/>
      <c r="C3" s="3085"/>
      <c r="D3" s="46">
        <f>'数据-基础表'!AY6</f>
        <v>0</v>
      </c>
      <c r="E3" s="46">
        <f>'数据-基础表'!AZ5</f>
        <v>25223.160000000011</v>
      </c>
      <c r="F3" s="1395"/>
      <c r="G3" s="1402"/>
      <c r="H3" s="1250" t="s">
        <v>1915</v>
      </c>
      <c r="I3" s="55" t="e">
        <f>ROUND('数据-基础表'!B3/'数据-基础表'!A3,2)</f>
        <v>#DIV/0!</v>
      </c>
      <c r="J3" s="1395"/>
      <c r="K3" s="1395"/>
      <c r="L3" s="1395"/>
      <c r="M3" s="1395"/>
      <c r="N3" s="1430"/>
      <c r="O3" s="1395"/>
      <c r="P3" s="1395"/>
    </row>
    <row r="4" spans="1:16" ht="15">
      <c r="A4" s="3086"/>
      <c r="B4" s="3087"/>
      <c r="C4" s="3088"/>
      <c r="D4" s="2234" t="s">
        <v>1916</v>
      </c>
      <c r="E4" s="2235" t="s">
        <v>1917</v>
      </c>
      <c r="F4" s="1395"/>
      <c r="G4" s="2236" t="s">
        <v>1942</v>
      </c>
      <c r="H4" s="1250" t="s">
        <v>1922</v>
      </c>
      <c r="I4" s="55" t="e">
        <f>ROUND(SUMIF('数据-基础表'!I9:AS9,"地上",'数据-基础表'!I5:AS5)/'数据-基础表'!A3,2)</f>
        <v>#DIV/0!</v>
      </c>
      <c r="J4" s="1395"/>
      <c r="K4" s="1395"/>
      <c r="L4" s="1395"/>
      <c r="M4" s="1395"/>
      <c r="N4" s="1430"/>
      <c r="O4" s="1395"/>
      <c r="P4" s="1395"/>
    </row>
    <row r="5" spans="1:16">
      <c r="A5" s="47" t="s">
        <v>1918</v>
      </c>
      <c r="B5" s="3089" t="s">
        <v>1919</v>
      </c>
      <c r="C5" s="3089"/>
      <c r="D5" s="48">
        <f>ROUND($D$3*E5/$E$3,2)</f>
        <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7"/>
      <c r="B6" s="3089" t="s">
        <v>1920</v>
      </c>
      <c r="C6" s="3089"/>
      <c r="D6" s="48">
        <f>ROUND($D$3*E6/$E$3,2)</f>
        <v>0</v>
      </c>
      <c r="E6" s="49">
        <f>E3-E5</f>
        <v>25223.160000000011</v>
      </c>
      <c r="F6" s="1395"/>
      <c r="G6" s="2238" t="s">
        <v>1921</v>
      </c>
      <c r="H6" s="1402" t="s">
        <v>1922</v>
      </c>
      <c r="I6" s="942" t="e">
        <f>ROUND(F31/D31,2)</f>
        <v>#DIV/0!</v>
      </c>
      <c r="J6" s="1395"/>
      <c r="K6" s="1395"/>
      <c r="L6" s="1395"/>
      <c r="M6" s="1395"/>
      <c r="N6" s="1395"/>
      <c r="O6" s="1395"/>
      <c r="P6" s="1395"/>
    </row>
    <row r="7" spans="1:16" ht="15">
      <c r="A7" s="3081"/>
      <c r="B7" s="3082"/>
      <c r="C7" s="3083"/>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25223.160000000011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0</v>
      </c>
      <c r="E16" s="53">
        <f>SUM(E8:E15)</f>
        <v>25223.160000000011</v>
      </c>
      <c r="F16" s="1395"/>
      <c r="G16" s="2240"/>
      <c r="H16" s="2243" t="s">
        <v>1944</v>
      </c>
      <c r="I16" s="2244"/>
      <c r="J16" s="1395"/>
      <c r="K16" s="3078" t="s">
        <v>1944</v>
      </c>
      <c r="L16" s="3079"/>
      <c r="M16" s="3079"/>
      <c r="N16" s="3079"/>
      <c r="O16" s="3079"/>
      <c r="P16" s="3080"/>
    </row>
    <row r="17" spans="1:19" ht="15">
      <c r="A17" s="2245" t="s">
        <v>1945</v>
      </c>
      <c r="B17" s="2246" t="s">
        <v>1946</v>
      </c>
      <c r="C17" s="2247" t="s">
        <v>1947</v>
      </c>
      <c r="D17" s="2248" t="s">
        <v>1935</v>
      </c>
      <c r="E17" s="2249" t="s">
        <v>1936</v>
      </c>
      <c r="F17" s="2250"/>
      <c r="G17" s="2251"/>
      <c r="H17" s="2252" t="s">
        <v>1948</v>
      </c>
      <c r="I17" s="2253" t="s">
        <v>1933</v>
      </c>
      <c r="J17" s="1395"/>
      <c r="K17" s="3075" t="s">
        <v>1949</v>
      </c>
      <c r="L17" s="3076"/>
      <c r="M17" s="3077"/>
      <c r="N17" s="3075" t="s">
        <v>1950</v>
      </c>
      <c r="O17" s="3076"/>
      <c r="P17" s="3077"/>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95" t="s">
        <v>3899</v>
      </c>
      <c r="D19" s="48">
        <f>ROUND($D$3*E19/$E$3,2)</f>
        <v>0</v>
      </c>
      <c r="E19" s="56">
        <f t="shared" ref="E19:E26" si="1">SUM(F19:G19)</f>
        <v>126.55</v>
      </c>
      <c r="F19" s="57">
        <f>抵押物清单!D3</f>
        <v>126.55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126.55</v>
      </c>
    </row>
    <row r="20" spans="1:19">
      <c r="A20" s="2266"/>
      <c r="B20" s="50" t="s">
        <v>1962</v>
      </c>
      <c r="C20" s="2995" t="s">
        <v>3900</v>
      </c>
      <c r="D20" s="48">
        <f t="shared" ref="D20:D26" si="6">ROUND($D$3*E20/$E$3,2)</f>
        <v>0</v>
      </c>
      <c r="E20" s="56">
        <f t="shared" si="1"/>
        <v>25096.610000000011</v>
      </c>
      <c r="F20" s="57">
        <f>'数据-基础表'!I13-'数据-汇总表'!F19+'数据-基础表'!K14</f>
        <v>25096.610000000011</v>
      </c>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25096.610000000011</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0</v>
      </c>
      <c r="E27" s="1397">
        <f>IF(SUM(E19:E26)='数据-基础表'!BA5,SUM(E19:E26),IF(F27="地上面积有误","面积有误","地下面积有误"))</f>
        <v>25223.160000000011</v>
      </c>
      <c r="F27" s="1396">
        <f>IF(SUM(F19:F26)=E8,SUM(F19:F26),"地上面积有误")</f>
        <v>25223.160000000011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25223.160000000011</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0</v>
      </c>
      <c r="E31" s="729">
        <f>E27+E30</f>
        <v>25223.160000000011</v>
      </c>
      <c r="F31" s="730">
        <f>F27+F30</f>
        <v>25223.160000000011</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S25" sqref="S25"/>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43362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3901</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基准商业</v>
      </c>
      <c r="B6" s="2310" t="str">
        <f>IF(A6=0,"","经营性")</f>
        <v>经营性</v>
      </c>
      <c r="C6" s="2311" t="s">
        <v>1377</v>
      </c>
      <c r="D6" s="1054">
        <f>SUMIF(项目基本情况!D$12:I$12,C6,项目基本情况!D$14:I$14)</f>
        <v>40</v>
      </c>
      <c r="E6" s="1051">
        <f>IF(B6="","",SUMIF(项目基本情况!D$12:I$12,C6,项目基本情况!D$13:I$13))</f>
        <v>54339</v>
      </c>
      <c r="F6" s="72">
        <f>SUMIF(项目基本情况!D$12:I$12,C6,项目基本情况!D$15:I$15)</f>
        <v>30.07</v>
      </c>
      <c r="G6" s="73">
        <f>IF(ISERROR(ROUND(POWER(1+H6,D6-F6)*(POWER(1+H6,F6)-1)/(POWER(1+H6,D6)-1),3)),0,ROUND(POWER(1+H6,D6-F6)*(POWER(1+H6,F6)-1)/(POWER(1+H6,D6)-1),3))</f>
        <v>0.89700000000000002</v>
      </c>
      <c r="H6" s="802">
        <v>0.05</v>
      </c>
      <c r="I6" s="802">
        <v>5.5E-2</v>
      </c>
      <c r="J6" s="74">
        <v>8.5000000000000006E-2</v>
      </c>
      <c r="K6" s="1254">
        <f>SUMIF('数据-汇总表'!C$19:C$33,A6,'数据-汇总表'!E$19:E$33)</f>
        <v>126.55</v>
      </c>
      <c r="L6" s="803">
        <v>2600</v>
      </c>
      <c r="M6" s="75">
        <f t="shared" ref="M6:M14" si="0">ROUND(K6*L6/10000,0)</f>
        <v>33</v>
      </c>
      <c r="N6" s="801">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6">
        <f>ROUND($L$14*S6/10000,0)</f>
        <v>0</v>
      </c>
      <c r="U6" s="78">
        <v>3</v>
      </c>
      <c r="V6" s="79">
        <v>3.5000000000000003E-2</v>
      </c>
      <c r="W6" s="79">
        <v>0.15</v>
      </c>
      <c r="X6" s="1264"/>
      <c r="Y6" s="80">
        <f>N6</f>
        <v>0.87</v>
      </c>
      <c r="Z6" s="81"/>
      <c r="AA6" s="74"/>
      <c r="AB6" s="74"/>
      <c r="AC6" s="1264"/>
      <c r="AD6" s="82"/>
      <c r="AE6" s="1265">
        <f ca="1">IF(AN6="",0,SUMIF(INDIRECT("'"&amp;AN6&amp;"'"&amp;"!E:E"),$AE$5,INDIRECT("'"&amp;AN6&amp;"'"&amp;"!F:F")))</f>
        <v>30.07</v>
      </c>
      <c r="AF6" s="1807"/>
      <c r="AG6" s="147">
        <f>IF(AF6="",0,AE6-AF6)</f>
        <v>0</v>
      </c>
      <c r="AH6" s="83"/>
      <c r="AI6" s="85">
        <v>365</v>
      </c>
      <c r="AJ6" s="86"/>
      <c r="AK6" s="87">
        <v>1.4999999999999999E-2</v>
      </c>
      <c r="AL6" s="88">
        <v>1.5E-3</v>
      </c>
      <c r="AM6" s="89">
        <v>0.01</v>
      </c>
      <c r="AN6" s="2312" t="s">
        <v>3902</v>
      </c>
      <c r="AO6" s="55">
        <f ca="1">SUMIF(INDIRECT("'"&amp;AN6&amp;"'"&amp;"!A:A"),"总价",INDIRECT("'"&amp;AN6&amp;"'"&amp;"!B:B"))</f>
        <v>198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其余</v>
      </c>
      <c r="B7" s="2310" t="str">
        <f t="shared" ref="B7:B13" si="1">IF(A7=0,"","经营性")</f>
        <v>经营性</v>
      </c>
      <c r="C7" s="2311"/>
      <c r="D7" s="1054">
        <f>SUMIF(项目基本情况!D$12:I$12,C7,项目基本情况!D$14:I$14)</f>
        <v>0</v>
      </c>
      <c r="E7" s="1051">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25096.610000000011</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0.89700000000000002</v>
      </c>
      <c r="H16" s="99">
        <f>ROUND(SUMPRODUCT(H6:H13,K6:K13)/SUMPRODUCT((H6:H13&gt;0)*(K6:K13)),3)</f>
        <v>0.05</v>
      </c>
      <c r="I16" s="100"/>
      <c r="J16" s="100"/>
      <c r="K16" s="101">
        <f>SUM(K6:K15)</f>
        <v>25223.160000000011</v>
      </c>
      <c r="L16" s="102">
        <f>ROUND(M16*10000/SUM(K6:K14),0)</f>
        <v>13</v>
      </c>
      <c r="M16" s="102">
        <f>SUM(M6:M14)</f>
        <v>33</v>
      </c>
      <c r="N16" s="103">
        <f>ROUND(SUMPRODUCT(M6:M14,N6:N14)/M16,3)</f>
        <v>0.87</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2.5</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165</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7.0000000000000007E-2</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212</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v>10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0" t="s">
        <v>2085</v>
      </c>
      <c r="B1" s="3091"/>
      <c r="C1" s="3091"/>
      <c r="D1" s="3091"/>
      <c r="E1" s="3091"/>
      <c r="F1" s="3091"/>
      <c r="G1" s="309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20405.129999999997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43362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29182</v>
      </c>
      <c r="C5" s="1746">
        <f ca="1">ROUND(B5*10000/$B$1,0)</f>
        <v>14301</v>
      </c>
      <c r="D5" s="1746" t="e">
        <f ca="1">ROUND(B5*10000/$B$2,0)</f>
        <v>#DIV/0!</v>
      </c>
      <c r="E5" s="1745"/>
      <c r="F5" s="1743"/>
      <c r="G5" s="1743"/>
    </row>
    <row r="6" spans="1:10" ht="16.5">
      <c r="A6" s="1746" t="s">
        <v>1356</v>
      </c>
      <c r="B6" s="1746">
        <f ca="1">SUM(G14:G23)</f>
        <v>29182</v>
      </c>
      <c r="C6" s="1746">
        <f ca="1">ROUND(B6*10000/$B$1,0)</f>
        <v>14301</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抵押物清单!C422+'典型户型修正（上）'!B22</f>
        <v>20405.129999999997</v>
      </c>
      <c r="C14" s="1744">
        <f>结果表!C118</f>
        <v>0</v>
      </c>
      <c r="D14" s="1744">
        <f ca="1">'典型户型修正（上）'!B20+SUM('典型户型修正 (下)'!S195:S361)</f>
        <v>29182</v>
      </c>
      <c r="E14" s="1744">
        <f ca="1">ROUND(D14*10000/B14,0)</f>
        <v>14301</v>
      </c>
      <c r="F14" s="1744" t="e">
        <f ca="1">ROUND(D14*10000/C14,0)</f>
        <v>#DIV/0!</v>
      </c>
      <c r="G14" s="1744">
        <f ca="1">D14</f>
        <v>29182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3908</v>
      </c>
      <c r="H1" s="2425" t="str">
        <f>IF(G1="现房","——","估价对象范围")</f>
        <v>——</v>
      </c>
      <c r="I1" s="2426"/>
    </row>
    <row r="2" spans="1:12" ht="21.75" customHeight="1" thickBot="1">
      <c r="A2" s="3125" t="str">
        <f>项目基本情况!S2</f>
        <v>天津市房地产</v>
      </c>
      <c r="B2" s="3126"/>
      <c r="C2" s="3126"/>
      <c r="D2" s="3126"/>
      <c r="E2" s="3126"/>
      <c r="F2" s="3126"/>
      <c r="G2" s="3126"/>
      <c r="H2" s="3126"/>
      <c r="I2" s="3127"/>
    </row>
    <row r="3" spans="1:12" ht="12.75">
      <c r="A3" s="3129" t="s">
        <v>2124</v>
      </c>
      <c r="B3" s="3130"/>
      <c r="C3" s="3130"/>
      <c r="D3" s="3130"/>
      <c r="E3" s="3130"/>
      <c r="F3" s="3130"/>
      <c r="G3" s="3130"/>
      <c r="H3" s="3130"/>
      <c r="I3" s="3130"/>
    </row>
    <row r="4" spans="1:12" ht="14.25">
      <c r="A4" s="2429" t="s">
        <v>2125</v>
      </c>
      <c r="B4" s="2430" t="s">
        <v>2126</v>
      </c>
      <c r="C4" s="2431" t="s">
        <v>3907</v>
      </c>
      <c r="D4" s="2431" t="s">
        <v>3902</v>
      </c>
      <c r="E4" s="3122" t="s">
        <v>2127</v>
      </c>
      <c r="F4" s="3123"/>
      <c r="G4" s="3123"/>
      <c r="H4" s="3123"/>
      <c r="I4" s="3131"/>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5" t="s">
        <v>2128</v>
      </c>
      <c r="B5" s="3043">
        <v>25</v>
      </c>
      <c r="C5" s="3108"/>
      <c r="D5" s="3128"/>
      <c r="E5" s="140" t="s">
        <v>2129</v>
      </c>
      <c r="F5" s="2433"/>
      <c r="G5" s="2433"/>
      <c r="H5" s="2433"/>
      <c r="I5" s="1834"/>
    </row>
    <row r="6" spans="1:12" ht="12.75">
      <c r="A6" s="3105"/>
      <c r="B6" s="3043"/>
      <c r="C6" s="3109"/>
      <c r="D6" s="3128"/>
      <c r="E6" s="140" t="s">
        <v>2130</v>
      </c>
      <c r="F6" s="2433"/>
      <c r="G6" s="2433"/>
      <c r="H6" s="2433"/>
      <c r="I6" s="1834"/>
    </row>
    <row r="7" spans="1:12" ht="12.75">
      <c r="A7" s="3105"/>
      <c r="B7" s="3043"/>
      <c r="C7" s="3110"/>
      <c r="D7" s="3128"/>
      <c r="E7" s="140" t="s">
        <v>2131</v>
      </c>
      <c r="F7" s="2433"/>
      <c r="G7" s="2433"/>
      <c r="H7" s="2433"/>
      <c r="I7" s="1834"/>
    </row>
    <row r="8" spans="1:12" ht="12.75">
      <c r="A8" s="3105" t="s">
        <v>2132</v>
      </c>
      <c r="B8" s="3043">
        <v>15</v>
      </c>
      <c r="C8" s="3108"/>
      <c r="D8" s="3128"/>
      <c r="E8" s="140" t="s">
        <v>2133</v>
      </c>
      <c r="F8" s="2433"/>
      <c r="G8" s="2433"/>
      <c r="H8" s="2433"/>
      <c r="I8" s="1834"/>
    </row>
    <row r="9" spans="1:12" ht="12.75">
      <c r="A9" s="3105"/>
      <c r="B9" s="3043"/>
      <c r="C9" s="3110"/>
      <c r="D9" s="3128"/>
      <c r="E9" s="140" t="s">
        <v>2134</v>
      </c>
      <c r="F9" s="2433"/>
      <c r="G9" s="2433"/>
      <c r="H9" s="2433"/>
      <c r="I9" s="1834"/>
    </row>
    <row r="10" spans="1:12" ht="12.75">
      <c r="A10" s="3105" t="s">
        <v>2135</v>
      </c>
      <c r="B10" s="3043">
        <v>15</v>
      </c>
      <c r="C10" s="3108"/>
      <c r="D10" s="3128"/>
      <c r="E10" s="140" t="s">
        <v>2136</v>
      </c>
      <c r="F10" s="2433"/>
      <c r="G10" s="2433"/>
      <c r="H10" s="2433"/>
      <c r="I10" s="1834"/>
    </row>
    <row r="11" spans="1:12" ht="12.75">
      <c r="A11" s="3105"/>
      <c r="B11" s="3043"/>
      <c r="C11" s="3110"/>
      <c r="D11" s="3128"/>
      <c r="E11" s="140" t="s">
        <v>2137</v>
      </c>
      <c r="F11" s="2433"/>
      <c r="G11" s="2433"/>
      <c r="H11" s="2433"/>
      <c r="I11" s="1834"/>
    </row>
    <row r="12" spans="1:12" ht="12.75">
      <c r="A12" s="3105" t="s">
        <v>2138</v>
      </c>
      <c r="B12" s="3043">
        <v>15</v>
      </c>
      <c r="C12" s="3108"/>
      <c r="D12" s="3128"/>
      <c r="E12" s="140" t="s">
        <v>2139</v>
      </c>
      <c r="F12" s="2433"/>
      <c r="G12" s="2433"/>
      <c r="H12" s="2433"/>
      <c r="I12" s="1834"/>
    </row>
    <row r="13" spans="1:12" ht="12.75">
      <c r="A13" s="3105"/>
      <c r="B13" s="3043"/>
      <c r="C13" s="3110"/>
      <c r="D13" s="3128"/>
      <c r="E13" s="140" t="s">
        <v>2140</v>
      </c>
      <c r="F13" s="2433"/>
      <c r="G13" s="2433"/>
      <c r="H13" s="2433"/>
      <c r="I13" s="1834"/>
    </row>
    <row r="14" spans="1:12" ht="12.75">
      <c r="A14" s="3105" t="s">
        <v>2141</v>
      </c>
      <c r="B14" s="3043">
        <v>30</v>
      </c>
      <c r="C14" s="3108">
        <v>6</v>
      </c>
      <c r="D14" s="3128">
        <v>4</v>
      </c>
      <c r="E14" s="140" t="s">
        <v>2142</v>
      </c>
      <c r="F14" s="2433"/>
      <c r="G14" s="2433"/>
      <c r="H14" s="2433"/>
      <c r="I14" s="1834"/>
    </row>
    <row r="15" spans="1:12" ht="12.75">
      <c r="A15" s="3105"/>
      <c r="B15" s="3043"/>
      <c r="C15" s="3109"/>
      <c r="D15" s="3128"/>
      <c r="E15" s="140" t="s">
        <v>2143</v>
      </c>
      <c r="F15" s="2433"/>
      <c r="G15" s="2433"/>
      <c r="H15" s="2433"/>
      <c r="I15" s="1834"/>
    </row>
    <row r="16" spans="1:12" ht="12.75">
      <c r="A16" s="3105"/>
      <c r="B16" s="3043"/>
      <c r="C16" s="3110"/>
      <c r="D16" s="3128"/>
      <c r="E16" s="140" t="s">
        <v>2144</v>
      </c>
      <c r="F16" s="2433"/>
      <c r="G16" s="2433"/>
      <c r="H16" s="2433"/>
      <c r="I16" s="1834"/>
    </row>
    <row r="17" spans="1:35" ht="15">
      <c r="A17" s="2434" t="s">
        <v>2145</v>
      </c>
      <c r="B17" s="64"/>
      <c r="C17" s="141">
        <f>SUM(C5:C16)</f>
        <v>6</v>
      </c>
      <c r="D17" s="141">
        <f>SUM(D5:D16)</f>
        <v>4</v>
      </c>
      <c r="E17" s="138"/>
      <c r="F17" s="138"/>
      <c r="G17" s="138"/>
      <c r="H17" s="138"/>
      <c r="I17" s="138"/>
      <c r="K17" s="2432"/>
      <c r="L17" s="2435" t="s">
        <v>2146</v>
      </c>
      <c r="M17" s="2435" t="s">
        <v>2147</v>
      </c>
    </row>
    <row r="18" spans="1:35" ht="15.75" thickBot="1">
      <c r="A18" s="2436" t="s">
        <v>2148</v>
      </c>
      <c r="B18" s="2437"/>
      <c r="C18" s="142">
        <f>ROUND(C17/SUM(C17:D17),2)</f>
        <v>0.6</v>
      </c>
      <c r="D18" s="142">
        <f>1-C18</f>
        <v>0.4</v>
      </c>
      <c r="E18" s="138"/>
      <c r="F18" s="138"/>
      <c r="G18" s="138"/>
      <c r="H18" s="138"/>
      <c r="I18" s="138"/>
      <c r="K18" s="2432" t="s">
        <v>2149</v>
      </c>
      <c r="L18" s="2432">
        <f>IF(C1="",'数据-汇总表'!E3,SUMIF(项目类型,C1,'数据-汇总表'!E17:E26)+SUMIF(项目类型,C1,'数据-汇总表'!I17:I26))</f>
        <v>25223.160000000011</v>
      </c>
      <c r="M18" s="2432">
        <f>IF(C1="",'数据-汇总表'!E3,SUMIF(项目类型,C1,'数据-汇总表'!E17:E26))</f>
        <v>25223.160000000011</v>
      </c>
    </row>
    <row r="19" spans="1:35" ht="15">
      <c r="A19" s="2438" t="s">
        <v>2150</v>
      </c>
      <c r="B19" s="2439" t="s">
        <v>2151</v>
      </c>
      <c r="C19" s="143">
        <f ca="1">SUMIF(INDIRECT("'"&amp;C4&amp;"'"&amp;"!A:A"),结果表!B19,INDIRECT("'"&amp;C4&amp;"'"&amp;"!B:B"))</f>
        <v>224</v>
      </c>
      <c r="D19" s="144">
        <f ca="1">SUMIF(INDIRECT("'"&amp;D4&amp;"'"&amp;"!A:A"),结果表!B19,INDIRECT("'"&amp;D4&amp;"'"&amp;"!B:B"))</f>
        <v>198</v>
      </c>
      <c r="E19" s="2438" t="s">
        <v>2152</v>
      </c>
      <c r="F19" s="2439" t="s">
        <v>2151</v>
      </c>
      <c r="G19" s="145">
        <f ca="1">ROUND(C19*$C$18+D19*$D$18,0)</f>
        <v>214</v>
      </c>
      <c r="H19" s="2440" t="s">
        <v>2153</v>
      </c>
      <c r="I19" s="138"/>
      <c r="K19" s="2432" t="s">
        <v>2154</v>
      </c>
      <c r="L19" s="2432">
        <f>IF(C1="",'数据-汇总表'!D3,SUMIF(项目类型,C1,'数据-汇总表'!D17:D26)+SUMIF(项目类型,C1,'数据-汇总表'!H17:H27))</f>
        <v>0</v>
      </c>
      <c r="M19" s="2432">
        <f>IF(C1="",'数据-汇总表'!D3,SUMIF(项目类型,C1,'数据-汇总表'!D17:D26))</f>
        <v>0</v>
      </c>
    </row>
    <row r="20" spans="1:35" ht="15">
      <c r="A20" s="2441"/>
      <c r="B20" s="1250" t="s">
        <v>2155</v>
      </c>
      <c r="C20" s="146">
        <f ca="1">SUMIF(INDIRECT("'"&amp;C4&amp;"'"&amp;"!A:A"),结果表!B20,INDIRECT("'"&amp;C4&amp;"'"&amp;"!B:B"))</f>
        <v>17666.7</v>
      </c>
      <c r="D20" s="147">
        <f ca="1">SUMIF(INDIRECT("'"&amp;D4&amp;"'"&amp;"!A:A"),结果表!B20,INDIRECT("'"&amp;D4&amp;"'"&amp;"!B:B"))</f>
        <v>15646</v>
      </c>
      <c r="E20" s="2441"/>
      <c r="F20" s="1250" t="s">
        <v>2155</v>
      </c>
      <c r="G20" s="148">
        <f ca="1">ROUND(C20*$C$18+D20*$D$18,0)</f>
        <v>16858</v>
      </c>
      <c r="H20" s="983" t="s">
        <v>2156</v>
      </c>
      <c r="I20" s="138"/>
    </row>
    <row r="21" spans="1:35" ht="15" customHeight="1" thickBot="1">
      <c r="A21" s="1003"/>
      <c r="B21" s="2442" t="s">
        <v>2157</v>
      </c>
      <c r="C21" s="789" t="e">
        <f ca="1">ROUND(C19*10000/L19,0)</f>
        <v>#DIV/0!</v>
      </c>
      <c r="D21" s="790" t="e">
        <f ca="1">ROUND(D19*10000/L19,0)</f>
        <v>#DIV/0!</v>
      </c>
      <c r="E21" s="1003"/>
      <c r="F21" s="2442" t="s">
        <v>2157</v>
      </c>
      <c r="G21" s="149" t="e">
        <f ca="1">ROUND(G19*10000/L19,0)</f>
        <v>#DIV/0!</v>
      </c>
      <c r="H21" s="2443" t="s">
        <v>2156</v>
      </c>
      <c r="I21" s="138"/>
    </row>
    <row r="22" spans="1:35" ht="15" thickBot="1">
      <c r="A22" s="2284" t="s">
        <v>2158</v>
      </c>
      <c r="B22" s="2444"/>
      <c r="C22" s="2445"/>
      <c r="D22" s="791">
        <f ca="1">IF(C19&lt;D19,D19/C19-1,C19/D19-1)</f>
        <v>0.13131313131313127</v>
      </c>
      <c r="E22" s="138"/>
      <c r="F22" s="138"/>
      <c r="G22" s="138"/>
      <c r="H22" s="138"/>
      <c r="I22" s="138"/>
    </row>
    <row r="23" spans="1:35" ht="13.5" thickBot="1">
      <c r="A23" s="2422"/>
      <c r="B23" s="2422"/>
      <c r="C23" s="2422"/>
      <c r="D23" s="2422"/>
      <c r="E23" s="138"/>
      <c r="F23" s="138"/>
      <c r="G23" s="138"/>
      <c r="H23" s="138"/>
      <c r="I23" s="138"/>
    </row>
    <row r="24" spans="1:35" ht="14.25">
      <c r="A24" s="3099" t="s">
        <v>2159</v>
      </c>
      <c r="B24" s="2439" t="s">
        <v>2151</v>
      </c>
      <c r="C24" s="145">
        <f>IF(B30=0,0,D30)</f>
        <v>0</v>
      </c>
      <c r="D24" s="2446"/>
      <c r="E24" s="138"/>
      <c r="F24" s="138"/>
      <c r="G24" s="138"/>
      <c r="H24" s="138"/>
      <c r="I24" s="138"/>
    </row>
    <row r="25" spans="1:35" ht="14.25">
      <c r="A25" s="3100"/>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1"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214</v>
      </c>
      <c r="D32" s="2453" t="s">
        <v>2166</v>
      </c>
      <c r="E32" s="138"/>
      <c r="F32" s="138"/>
      <c r="G32" s="138"/>
      <c r="H32" s="138"/>
      <c r="I32" s="138"/>
    </row>
    <row r="33" spans="1:15" ht="15">
      <c r="A33" s="960" t="s">
        <v>2167</v>
      </c>
      <c r="B33" s="2454"/>
      <c r="C33" s="2455"/>
      <c r="D33" s="2456"/>
      <c r="E33" s="2457" t="s">
        <v>2168</v>
      </c>
      <c r="F33" s="2458" t="str">
        <f>IF(D32="楼面单价","取值（单价）","取值（总价）")</f>
        <v>取值（总价）</v>
      </c>
      <c r="G33" s="138"/>
      <c r="H33" s="138"/>
      <c r="I33" s="138"/>
    </row>
    <row r="34" spans="1:15" ht="15">
      <c r="A34" s="2459"/>
      <c r="B34" s="2460"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2170</v>
      </c>
      <c r="F34" s="1739"/>
      <c r="G34" s="138"/>
      <c r="H34" s="138"/>
      <c r="I34" s="138"/>
    </row>
    <row r="35" spans="1:15" ht="15.75" thickBot="1">
      <c r="A35" s="2462"/>
      <c r="B35" s="2463"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2172</v>
      </c>
      <c r="F35" s="163"/>
      <c r="G35" s="138"/>
      <c r="H35" s="138"/>
      <c r="I35" s="138"/>
    </row>
    <row r="36" spans="1:15" ht="15.75" thickBot="1">
      <c r="A36" s="3117" t="s">
        <v>2173</v>
      </c>
      <c r="B36" s="2465" t="s">
        <v>2174</v>
      </c>
      <c r="C36" s="154"/>
      <c r="D36" s="2466"/>
      <c r="E36" s="2467"/>
      <c r="F36" s="2468"/>
      <c r="G36" s="138"/>
      <c r="H36" s="138"/>
      <c r="I36" s="138"/>
    </row>
    <row r="37" spans="1:15" ht="15.75" thickBot="1">
      <c r="A37" s="3118"/>
      <c r="B37" s="2270" t="s">
        <v>2175</v>
      </c>
      <c r="C37" s="156"/>
      <c r="D37" s="1395"/>
      <c r="E37" s="1395"/>
      <c r="F37" s="2468"/>
      <c r="G37" s="138"/>
      <c r="H37" s="138"/>
      <c r="I37" s="138"/>
    </row>
    <row r="38" spans="1:15" ht="15.75" thickBot="1">
      <c r="A38" s="3119"/>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96" t="s">
        <v>2187</v>
      </c>
      <c r="B45" s="3097"/>
      <c r="C45" s="3098"/>
      <c r="D45" s="164">
        <f ca="1">ROUND(H101*F45,0)</f>
        <v>214</v>
      </c>
      <c r="E45" s="165" t="s">
        <v>2188</v>
      </c>
      <c r="F45" s="166">
        <v>1</v>
      </c>
      <c r="G45" s="167" t="s">
        <v>2189</v>
      </c>
      <c r="H45" s="138"/>
      <c r="I45" s="138"/>
      <c r="J45" s="3156" t="s">
        <v>2190</v>
      </c>
      <c r="K45" s="3156"/>
      <c r="L45" s="3156"/>
      <c r="M45" s="3156"/>
      <c r="N45" s="3156"/>
      <c r="O45" s="3156"/>
    </row>
    <row r="46" spans="1:15" ht="14.25" customHeight="1">
      <c r="A46" s="3093" t="s">
        <v>2191</v>
      </c>
      <c r="B46" s="3094"/>
      <c r="C46" s="3094"/>
      <c r="D46" s="3094"/>
      <c r="E46" s="3094"/>
      <c r="F46" s="3094"/>
      <c r="G46" s="3095"/>
      <c r="H46" s="2484"/>
      <c r="I46" s="168"/>
      <c r="J46" s="1812">
        <v>1</v>
      </c>
      <c r="K46" s="3156" t="s">
        <v>2192</v>
      </c>
      <c r="L46" s="3156"/>
      <c r="M46" s="3176"/>
      <c r="N46" s="3176"/>
      <c r="O46" s="3176"/>
    </row>
    <row r="47" spans="1:15" ht="12" customHeight="1">
      <c r="A47" s="169" t="s">
        <v>2193</v>
      </c>
      <c r="B47" s="170"/>
      <c r="C47" s="171"/>
      <c r="D47" s="172" t="s">
        <v>2194</v>
      </c>
      <c r="E47" s="24" t="s">
        <v>2195</v>
      </c>
      <c r="F47" s="173" t="s">
        <v>2196</v>
      </c>
      <c r="G47" s="174" t="s">
        <v>2197</v>
      </c>
      <c r="H47" s="2484"/>
      <c r="I47" s="168"/>
      <c r="J47" s="1812">
        <v>2</v>
      </c>
      <c r="K47" s="3156" t="s">
        <v>2198</v>
      </c>
      <c r="L47" s="3156"/>
      <c r="M47" s="3177">
        <f>'数据-取费表'!B2</f>
        <v>43362</v>
      </c>
      <c r="N47" s="3177"/>
      <c r="O47" s="3177"/>
    </row>
    <row r="48" spans="1:15" ht="25.5">
      <c r="A48" s="3124" t="s">
        <v>2199</v>
      </c>
      <c r="B48" s="3107"/>
      <c r="C48" s="3107"/>
      <c r="D48" s="140">
        <f>IF(H48="情况1",0,IF(H48="情况2",D52,IF(H48="情况3",D53,IF(H48="情况4",D54))))</f>
        <v>0</v>
      </c>
      <c r="E48" s="1801" t="str">
        <f>IF(H48="情况4","(销售额-原购置价)×税（费）率","销售额×税（费）率")</f>
        <v>销售额×税（费）率</v>
      </c>
      <c r="F48" s="175" t="str">
        <f>IF(H48="情况1","免征",'数据-取费表'!B41)</f>
        <v>免征</v>
      </c>
      <c r="G48" s="2485" t="s">
        <v>2200</v>
      </c>
      <c r="H48" s="2486" t="s">
        <v>2201</v>
      </c>
      <c r="I48" s="2484"/>
      <c r="J48" s="1812">
        <v>3</v>
      </c>
      <c r="K48" s="3156" t="s">
        <v>2202</v>
      </c>
      <c r="L48" s="3156"/>
      <c r="M48" s="3178">
        <f ca="1">H101</f>
        <v>214</v>
      </c>
      <c r="N48" s="3178"/>
      <c r="O48" s="3178"/>
    </row>
    <row r="49" spans="1:35" ht="25.5" customHeight="1">
      <c r="A49" s="176" t="s">
        <v>2203</v>
      </c>
      <c r="B49" s="3092" t="s">
        <v>2204</v>
      </c>
      <c r="C49" s="3092"/>
      <c r="D49" s="177">
        <v>0</v>
      </c>
      <c r="E49" s="23" t="s">
        <v>2205</v>
      </c>
      <c r="F49" s="28" t="s">
        <v>34</v>
      </c>
      <c r="G49" s="3162"/>
      <c r="H49" s="138"/>
      <c r="I49" s="2487"/>
      <c r="J49" s="1812">
        <v>4</v>
      </c>
      <c r="K49" s="3156" t="str">
        <f>IF(项目基本情况!E8="房地产抵押价值","房地产抵押价值","抵押担保权已注销时的房地产抵押价值")</f>
        <v>抵押担保权已注销时的房地产抵押价值</v>
      </c>
      <c r="L49" s="3156"/>
      <c r="M49" s="3178" t="str">
        <f>IF(项目基本情况!E8="房地产抵押价值",H107,H109)</f>
        <v>——</v>
      </c>
      <c r="N49" s="3178"/>
      <c r="O49" s="3178"/>
    </row>
    <row r="50" spans="1:35" ht="25.5" customHeight="1">
      <c r="A50" s="178"/>
      <c r="B50" s="3092" t="s">
        <v>2206</v>
      </c>
      <c r="C50" s="3092"/>
      <c r="D50" s="179"/>
      <c r="E50" s="31"/>
      <c r="F50" s="180"/>
      <c r="G50" s="3163"/>
      <c r="H50" s="138"/>
      <c r="I50" s="2487"/>
      <c r="J50" s="3156" t="s">
        <v>2207</v>
      </c>
      <c r="K50" s="3156"/>
      <c r="L50" s="3156"/>
      <c r="M50" s="3156"/>
      <c r="N50" s="3156"/>
      <c r="O50" s="3156"/>
    </row>
    <row r="51" spans="1:35" ht="12" customHeight="1">
      <c r="A51" s="181"/>
      <c r="B51" s="3092" t="s">
        <v>2208</v>
      </c>
      <c r="C51" s="3092"/>
      <c r="D51" s="182"/>
      <c r="E51" s="30"/>
      <c r="F51" s="180"/>
      <c r="G51" s="3164"/>
      <c r="H51" s="138"/>
      <c r="I51" s="2487"/>
      <c r="J51" s="2488" t="s">
        <v>2209</v>
      </c>
      <c r="K51" s="3156" t="s">
        <v>2210</v>
      </c>
      <c r="L51" s="3156"/>
      <c r="M51" s="2488" t="s">
        <v>2211</v>
      </c>
      <c r="N51" s="2488" t="s">
        <v>2212</v>
      </c>
      <c r="O51" s="2488" t="s">
        <v>2213</v>
      </c>
    </row>
    <row r="52" spans="1:35" ht="24" customHeight="1">
      <c r="A52" s="183" t="s">
        <v>2214</v>
      </c>
      <c r="B52" s="3092" t="s">
        <v>2215</v>
      </c>
      <c r="C52" s="3092"/>
      <c r="D52" s="182">
        <f ca="1">ROUND(D45*'数据-取费表'!B41/(1+'数据-取费表'!C42),0)</f>
        <v>11</v>
      </c>
      <c r="E52" s="11" t="s">
        <v>2216</v>
      </c>
      <c r="F52" s="184">
        <f>'数据-取费表'!B41</f>
        <v>5.6000000000000001E-2</v>
      </c>
      <c r="G52" s="2489"/>
      <c r="H52" s="138"/>
      <c r="I52" s="2487"/>
      <c r="J52" s="1812">
        <v>1</v>
      </c>
      <c r="K52" s="3157" t="s">
        <v>2217</v>
      </c>
      <c r="L52" s="3157"/>
      <c r="M52" s="1754">
        <f>D48</f>
        <v>0</v>
      </c>
      <c r="N52" s="1812" t="str">
        <f>E48</f>
        <v>销售额×税（费）率</v>
      </c>
      <c r="O52" s="1755" t="str">
        <f>F48</f>
        <v>免征</v>
      </c>
    </row>
    <row r="53" spans="1:35" ht="12" customHeight="1">
      <c r="A53" s="183" t="s">
        <v>2218</v>
      </c>
      <c r="B53" s="3115" t="s">
        <v>2219</v>
      </c>
      <c r="C53" s="3116"/>
      <c r="D53" s="182">
        <f ca="1">ROUND(D45*'数据-取费表'!B41/(1+'数据-取费表'!C42),0)</f>
        <v>11</v>
      </c>
      <c r="E53" s="11" t="s">
        <v>2216</v>
      </c>
      <c r="F53" s="184">
        <f>'数据-取费表'!B41</f>
        <v>5.6000000000000001E-2</v>
      </c>
      <c r="G53" s="2489"/>
      <c r="H53" s="138"/>
      <c r="I53" s="2487"/>
      <c r="J53" s="1812">
        <v>2</v>
      </c>
      <c r="K53" s="3157" t="s">
        <v>2220</v>
      </c>
      <c r="L53" s="3157"/>
      <c r="M53" s="1754">
        <f t="shared" ref="M53:O54" ca="1" si="0">D55</f>
        <v>0</v>
      </c>
      <c r="N53" s="1812" t="str">
        <f t="shared" si="0"/>
        <v>销售额×税（费）率</v>
      </c>
      <c r="O53" s="1755">
        <f t="shared" si="0"/>
        <v>5.0000000000000001E-4</v>
      </c>
    </row>
    <row r="54" spans="1:35" ht="12" customHeight="1">
      <c r="A54" s="183" t="s">
        <v>2221</v>
      </c>
      <c r="B54" s="3115" t="s">
        <v>2222</v>
      </c>
      <c r="C54" s="3116"/>
      <c r="D54" s="182">
        <f ca="1">C68</f>
        <v>11</v>
      </c>
      <c r="E54" s="30" t="s">
        <v>2223</v>
      </c>
      <c r="F54" s="184">
        <f>'数据-取费表'!B41</f>
        <v>5.6000000000000001E-2</v>
      </c>
      <c r="G54" s="2489"/>
      <c r="H54" s="2490"/>
      <c r="I54" s="2487"/>
      <c r="J54" s="1812">
        <v>3</v>
      </c>
      <c r="K54" s="3157" t="s">
        <v>2224</v>
      </c>
      <c r="L54" s="3157"/>
      <c r="M54" s="1754">
        <f t="shared" ca="1" si="0"/>
        <v>121</v>
      </c>
      <c r="N54" s="1812" t="str">
        <f t="shared" si="0"/>
        <v>增值额×税（费）率</v>
      </c>
      <c r="O54" s="1756" t="str">
        <f t="shared" si="0"/>
        <v>——</v>
      </c>
    </row>
    <row r="55" spans="1:35" ht="24" customHeight="1">
      <c r="A55" s="3106" t="s">
        <v>2225</v>
      </c>
      <c r="B55" s="3107"/>
      <c r="C55" s="3107"/>
      <c r="D55" s="185">
        <f ca="1">IF(H55="个人住宅",0,ROUND(D45*I55,0))</f>
        <v>0</v>
      </c>
      <c r="E55" s="11" t="s">
        <v>2226</v>
      </c>
      <c r="F55" s="184">
        <f>IF(H55="正常",I55,"免征")</f>
        <v>5.0000000000000001E-4</v>
      </c>
      <c r="G55" s="2489"/>
      <c r="H55" s="2486" t="s">
        <v>2227</v>
      </c>
      <c r="I55" s="186">
        <f>'数据-取费表'!B49</f>
        <v>5.0000000000000001E-4</v>
      </c>
      <c r="J55" s="1812" t="str">
        <f>IF(H59="非个人房产","",4)</f>
        <v/>
      </c>
      <c r="K55" s="3157" t="str">
        <f>IF(H59="非个人房产","——","个人所得税")</f>
        <v>——</v>
      </c>
      <c r="L55" s="3157"/>
      <c r="M55" s="1757" t="str">
        <f>D59</f>
        <v>——</v>
      </c>
      <c r="N55" s="1810" t="str">
        <f>E59</f>
        <v>——</v>
      </c>
      <c r="O55" s="1758" t="str">
        <f>F59</f>
        <v>——</v>
      </c>
    </row>
    <row r="56" spans="1:35" ht="24.75">
      <c r="A56" s="3106" t="s">
        <v>2228</v>
      </c>
      <c r="B56" s="3107"/>
      <c r="C56" s="3107"/>
      <c r="D56" s="185">
        <f ca="1">IF(H56="个人住宅",D57,D58)</f>
        <v>121</v>
      </c>
      <c r="E56" s="11" t="s">
        <v>2229</v>
      </c>
      <c r="F56" s="184" t="str">
        <f>IF(H56="正常",F58,"免征")</f>
        <v>——</v>
      </c>
      <c r="G56" s="2491" t="s">
        <v>2230</v>
      </c>
      <c r="H56" s="2492" t="s">
        <v>2227</v>
      </c>
      <c r="I56" s="2493"/>
      <c r="J56" s="1812" t="str">
        <f>IF(项目基本情况!K6="上海银行",IF(J55="",4,J55+1),"")</f>
        <v/>
      </c>
      <c r="K56" s="3180" t="str">
        <f>IF(项目基本情况!K6="上海银行","其他处置费用","")</f>
        <v/>
      </c>
      <c r="L56" s="3181"/>
      <c r="M56" s="1754" t="str">
        <f>IF(项目基本情况!K6="上海银行",M69,"")</f>
        <v/>
      </c>
      <c r="N56" s="3183" t="str">
        <f>IF(项目基本情况!K6="上海银行","包含处置中涉及的律师、诉讼、拍卖、评估等费用","")</f>
        <v/>
      </c>
      <c r="O56" s="3184"/>
    </row>
    <row r="57" spans="1:35" ht="12.75">
      <c r="A57" s="183" t="s">
        <v>2203</v>
      </c>
      <c r="B57" s="3122" t="s">
        <v>2231</v>
      </c>
      <c r="C57" s="3131"/>
      <c r="D57" s="187">
        <v>0</v>
      </c>
      <c r="E57" s="23" t="s">
        <v>2205</v>
      </c>
      <c r="F57" s="155"/>
      <c r="G57" s="2489"/>
      <c r="H57" s="2493"/>
      <c r="I57" s="2493"/>
      <c r="J57" s="3157">
        <f>IF(AND(J55="",J56=""),4,IF(项目基本情况!K6="上海银行",结果表!J56+1,结果表!J55+1))</f>
        <v>4</v>
      </c>
      <c r="K57" s="3157" t="s">
        <v>2232</v>
      </c>
      <c r="L57" s="2494" t="s">
        <v>2233</v>
      </c>
      <c r="M57" s="1759"/>
      <c r="N57" s="1760">
        <f ca="1">SUMIF(M52:M56,"&lt;9e307")</f>
        <v>121</v>
      </c>
      <c r="O57" s="2495"/>
      <c r="P57" s="1753" t="e">
        <f ca="1">N57/M49</f>
        <v>#VALUE!</v>
      </c>
    </row>
    <row r="58" spans="1:35" ht="24.75">
      <c r="A58" s="183" t="s">
        <v>2214</v>
      </c>
      <c r="B58" s="3122" t="s">
        <v>2234</v>
      </c>
      <c r="C58" s="3123"/>
      <c r="D58" s="185">
        <f ca="1">IF(H58="转让取得",C81,C97)</f>
        <v>121</v>
      </c>
      <c r="E58" s="11" t="s">
        <v>2229</v>
      </c>
      <c r="F58" s="24" t="s">
        <v>34</v>
      </c>
      <c r="G58" s="2489"/>
      <c r="H58" s="2492" t="s">
        <v>2235</v>
      </c>
      <c r="I58" s="2493"/>
      <c r="J58" s="3157"/>
      <c r="K58" s="3157"/>
      <c r="L58" s="2494" t="s">
        <v>2236</v>
      </c>
      <c r="M58" s="1761"/>
      <c r="N58" s="2496" t="str">
        <f ca="1">NUMBERSTRING(INT(N57*10000),2)&amp;"元整"</f>
        <v>壹佰贰拾壹万元整</v>
      </c>
      <c r="O58" s="2497"/>
    </row>
    <row r="59" spans="1:35" ht="24.75" thickBot="1">
      <c r="A59" s="3160" t="s">
        <v>2237</v>
      </c>
      <c r="B59" s="3161"/>
      <c r="C59" s="3161"/>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58">
        <f>J57+1</f>
        <v>5</v>
      </c>
      <c r="K59" s="3157" t="s">
        <v>2239</v>
      </c>
      <c r="L59" s="1812" t="s">
        <v>2233</v>
      </c>
      <c r="M59" s="1762"/>
      <c r="N59" s="1763" t="e">
        <f ca="1">M49-N57</f>
        <v>#VALUE!</v>
      </c>
      <c r="O59" s="2499"/>
    </row>
    <row r="60" spans="1:35" ht="12" customHeight="1">
      <c r="A60" s="2500"/>
      <c r="B60" s="2422"/>
      <c r="C60" s="2422"/>
      <c r="D60" s="2422"/>
      <c r="E60" s="2169"/>
      <c r="F60" s="2493"/>
      <c r="G60" s="2493"/>
      <c r="H60" s="2501"/>
      <c r="I60" s="138"/>
      <c r="J60" s="3159"/>
      <c r="K60" s="3157"/>
      <c r="L60" s="2494" t="s">
        <v>2236</v>
      </c>
      <c r="M60" s="1761"/>
      <c r="N60" s="2496" t="e">
        <f ca="1">NUMBERSTRING(INT(N59*10000),2)&amp;"元整"</f>
        <v>#VALUE!</v>
      </c>
      <c r="O60" s="2497"/>
    </row>
    <row r="61" spans="1:35" ht="13.5" thickBot="1">
      <c r="A61" s="3104" t="s">
        <v>2240</v>
      </c>
      <c r="B61" s="3104"/>
      <c r="C61" s="3104"/>
      <c r="D61" s="3104"/>
      <c r="E61" s="3104"/>
      <c r="F61" s="2493"/>
      <c r="G61" s="2493"/>
      <c r="H61" s="2501"/>
      <c r="I61" s="138"/>
      <c r="J61" s="1812">
        <f>J59+1</f>
        <v>6</v>
      </c>
      <c r="K61" s="3157" t="s">
        <v>2241</v>
      </c>
      <c r="L61" s="3157"/>
      <c r="M61" s="1764"/>
      <c r="N61" s="1765" t="e">
        <f ca="1">ROUND(N59*10000/'数据-汇总表'!E3,0)</f>
        <v>#VALUE!</v>
      </c>
      <c r="O61" s="2502"/>
    </row>
    <row r="62" spans="1:35" ht="12.75">
      <c r="A62" s="3120" t="s">
        <v>2242</v>
      </c>
      <c r="B62" s="3121"/>
      <c r="C62" s="1804"/>
      <c r="D62" s="1804" t="s">
        <v>2243</v>
      </c>
      <c r="E62" s="192" t="s">
        <v>2244</v>
      </c>
      <c r="F62" s="2493"/>
      <c r="G62" s="2493"/>
      <c r="H62" s="2501"/>
      <c r="I62" s="138"/>
    </row>
    <row r="63" spans="1:35" ht="12.75">
      <c r="A63" s="203" t="s">
        <v>775</v>
      </c>
      <c r="B63" s="193" t="s">
        <v>2245</v>
      </c>
      <c r="C63" s="194">
        <f ca="1">ROUND((C64+C65)/(1+'数据-取费表'!C42),0)</f>
        <v>204</v>
      </c>
      <c r="D63" s="195"/>
      <c r="E63" s="196"/>
      <c r="F63" s="2493"/>
      <c r="G63" s="2493"/>
      <c r="H63" s="2501"/>
      <c r="I63" s="138"/>
      <c r="J63" s="3182" t="s">
        <v>2246</v>
      </c>
      <c r="K63" s="2503"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214</v>
      </c>
      <c r="D64" s="200" t="s">
        <v>32</v>
      </c>
      <c r="E64" s="201"/>
      <c r="F64" s="2493"/>
      <c r="G64" s="2493"/>
      <c r="H64" s="2501"/>
      <c r="I64" s="138"/>
      <c r="J64" s="3182"/>
      <c r="K64" s="2503"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82"/>
      <c r="K65" s="2503"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82"/>
      <c r="K66" s="2503" t="s">
        <v>2254</v>
      </c>
      <c r="L66" s="1752" t="e">
        <f>M49*0.5%</f>
        <v>#VALUE!</v>
      </c>
      <c r="M66" s="24" t="e">
        <f>IF(L66&gt;0.5,0.5,ROUND(L66,0))</f>
        <v>#VALUE!</v>
      </c>
      <c r="N66" s="138" t="s">
        <v>2255</v>
      </c>
      <c r="Z66" s="2427"/>
      <c r="AI66" s="2428"/>
    </row>
    <row r="67" spans="1:35" ht="14.25" customHeight="1">
      <c r="A67" s="203" t="s">
        <v>773</v>
      </c>
      <c r="B67" s="204" t="s">
        <v>2256</v>
      </c>
      <c r="C67" s="207">
        <f ca="1">C63-C66</f>
        <v>204</v>
      </c>
      <c r="D67" s="200" t="s">
        <v>32</v>
      </c>
      <c r="E67" s="201"/>
      <c r="F67" s="2493"/>
      <c r="G67" s="2493"/>
      <c r="H67" s="2501"/>
      <c r="I67" s="138"/>
      <c r="J67" s="3182"/>
      <c r="K67" s="2503"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11</v>
      </c>
      <c r="D68" s="211">
        <f>'数据-取费表'!B41</f>
        <v>5.6000000000000001E-2</v>
      </c>
      <c r="E68" s="212"/>
      <c r="F68" s="2493"/>
      <c r="G68" s="2493"/>
      <c r="H68" s="2501"/>
      <c r="I68" s="138"/>
      <c r="J68" s="3182"/>
      <c r="K68" s="2503"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82"/>
      <c r="K69" s="2503"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1" t="s">
        <v>2261</v>
      </c>
      <c r="B70" s="3142"/>
      <c r="C70" s="3142"/>
      <c r="D70" s="3142"/>
      <c r="E70" s="3142"/>
      <c r="F70" s="3142"/>
      <c r="G70" s="3142"/>
      <c r="H70" s="314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0" t="s">
        <v>2242</v>
      </c>
      <c r="B71" s="3121"/>
      <c r="C71" s="1804"/>
      <c r="D71" s="1804"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204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15" t="s">
        <v>2270</v>
      </c>
      <c r="F76" s="3092"/>
      <c r="G76" s="3092"/>
      <c r="H76" s="314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1</v>
      </c>
      <c r="D78" s="226">
        <f>'数据-取费表'!B43</f>
        <v>6.000000000000001E-3</v>
      </c>
      <c r="E78" s="3101" t="s">
        <v>2275</v>
      </c>
      <c r="F78" s="3102"/>
      <c r="G78" s="3102"/>
      <c r="H78" s="311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203</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203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121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1" t="s">
        <v>2279</v>
      </c>
      <c r="B83" s="3142"/>
      <c r="C83" s="3142"/>
      <c r="D83" s="3142"/>
      <c r="E83" s="3142"/>
      <c r="F83" s="3142"/>
      <c r="G83" s="3142"/>
      <c r="H83" s="314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0" t="s">
        <v>2242</v>
      </c>
      <c r="B84" s="3121"/>
      <c r="C84" s="1804"/>
      <c r="D84" s="1804"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204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800"/>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101" t="s">
        <v>2288</v>
      </c>
      <c r="F91" s="3102"/>
      <c r="G91" s="3102"/>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101" t="s">
        <v>2292</v>
      </c>
      <c r="F92" s="3102"/>
      <c r="G92" s="3102"/>
      <c r="H92" s="311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1</v>
      </c>
      <c r="D93" s="226">
        <f>'数据-取费表'!B43</f>
        <v>6.000000000000001E-3</v>
      </c>
      <c r="E93" s="3101" t="s">
        <v>2275</v>
      </c>
      <c r="F93" s="3102"/>
      <c r="G93" s="3102"/>
      <c r="H93" s="311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12" t="s">
        <v>2296</v>
      </c>
      <c r="F94" s="3113"/>
      <c r="G94" s="3113"/>
      <c r="H94" s="3114"/>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203</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203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121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86" t="s">
        <v>2298</v>
      </c>
      <c r="B100" s="3087"/>
      <c r="C100" s="3087"/>
      <c r="D100" s="3103"/>
      <c r="E100" s="3087" t="s">
        <v>2299</v>
      </c>
      <c r="F100" s="3087"/>
      <c r="G100" s="3087"/>
      <c r="H100" s="3103"/>
      <c r="I100" s="138"/>
    </row>
    <row r="101" spans="1:35" ht="18.75" customHeight="1">
      <c r="A101" s="3165" t="s">
        <v>2300</v>
      </c>
      <c r="B101" s="3166"/>
      <c r="C101" s="736" t="str">
        <f>C4</f>
        <v>比较法-商业</v>
      </c>
      <c r="D101" s="737" t="str">
        <f>D4</f>
        <v>收益法</v>
      </c>
      <c r="E101" s="3179" t="s">
        <v>2301</v>
      </c>
      <c r="F101" s="3133"/>
      <c r="G101" s="2524" t="s">
        <v>2302</v>
      </c>
      <c r="H101" s="1048">
        <f ca="1">H118</f>
        <v>214</v>
      </c>
      <c r="I101" s="138"/>
    </row>
    <row r="102" spans="1:35" ht="18.75" customHeight="1">
      <c r="A102" s="3135" t="s">
        <v>2303</v>
      </c>
      <c r="B102" s="2524" t="s">
        <v>2302</v>
      </c>
      <c r="C102" s="736">
        <f ca="1">C19</f>
        <v>224</v>
      </c>
      <c r="D102" s="737">
        <f ca="1">D19</f>
        <v>198</v>
      </c>
      <c r="E102" s="3179"/>
      <c r="F102" s="3133"/>
      <c r="G102" s="2524" t="s">
        <v>2304</v>
      </c>
      <c r="H102" s="371">
        <f ca="1">I118</f>
        <v>85</v>
      </c>
      <c r="I102" s="138"/>
    </row>
    <row r="103" spans="1:35" ht="42.75" customHeight="1">
      <c r="A103" s="3135"/>
      <c r="B103" s="2524" t="s">
        <v>2304</v>
      </c>
      <c r="C103" s="738">
        <f ca="1">C20</f>
        <v>17666.7</v>
      </c>
      <c r="D103" s="739">
        <f ca="1">D20</f>
        <v>15646</v>
      </c>
      <c r="E103" s="3174" t="s">
        <v>2305</v>
      </c>
      <c r="F103" s="3175"/>
      <c r="G103" s="2525" t="s">
        <v>2306</v>
      </c>
      <c r="H103" s="1048">
        <f>IF(D36="正常操作",H104+H105+H106,H105+H106)</f>
        <v>0</v>
      </c>
      <c r="I103" s="138"/>
    </row>
    <row r="104" spans="1:35" ht="18.75" customHeight="1">
      <c r="A104" s="3135" t="s">
        <v>2307</v>
      </c>
      <c r="B104" s="2526" t="s">
        <v>2302</v>
      </c>
      <c r="C104" s="740">
        <f ca="1">H118</f>
        <v>214</v>
      </c>
      <c r="D104" s="741"/>
      <c r="E104" s="2270" t="s">
        <v>2308</v>
      </c>
      <c r="F104" s="2261"/>
      <c r="G104" s="2525" t="s">
        <v>2306</v>
      </c>
      <c r="H104" s="1049">
        <f>IF(D36="同一抵押权人同一抵押物续贷",C36&amp;"（未扣减，详见特别提示）",C36)</f>
        <v>0</v>
      </c>
      <c r="I104" s="138"/>
    </row>
    <row r="105" spans="1:35" ht="18.75" customHeight="1" thickBot="1">
      <c r="A105" s="3136"/>
      <c r="B105" s="2527" t="s">
        <v>2304</v>
      </c>
      <c r="C105" s="742">
        <f ca="1">I118</f>
        <v>85</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132" t="str">
        <f>IF(项目基本情况!E8="已注销","——","3.房地产抵押价值")</f>
        <v>3.房地产抵押价值</v>
      </c>
      <c r="F107" s="3133"/>
      <c r="G107" s="2524" t="s">
        <v>2302</v>
      </c>
      <c r="H107" s="1048">
        <f ca="1">IF(E107="——","——",H101-H103)</f>
        <v>214</v>
      </c>
      <c r="I107" s="138"/>
    </row>
    <row r="108" spans="1:35" ht="18.75" customHeight="1">
      <c r="A108" s="138"/>
      <c r="B108" s="138"/>
      <c r="C108" s="138"/>
      <c r="D108" s="138"/>
      <c r="E108" s="3132"/>
      <c r="F108" s="3133"/>
      <c r="G108" s="2524" t="s">
        <v>2304</v>
      </c>
      <c r="H108" s="371">
        <f ca="1">ROUND(H107*10000/'数据-汇总表'!E3,0)</f>
        <v>85</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4" t="s">
        <v>2302</v>
      </c>
      <c r="H109" s="348" t="str">
        <f>IF(E109="——","——",H101-H105-H106)</f>
        <v>——</v>
      </c>
      <c r="I109" s="138"/>
    </row>
    <row r="110" spans="1:35" ht="18.75" customHeight="1">
      <c r="A110" s="138"/>
      <c r="B110" s="138"/>
      <c r="C110" s="138"/>
      <c r="D110" s="138"/>
      <c r="E110" s="3132"/>
      <c r="F110" s="3133"/>
      <c r="G110" s="2524" t="s">
        <v>2304</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24" t="s">
        <v>2302</v>
      </c>
      <c r="H111" s="1048" t="str">
        <f>IF(E111="——","——",N59)</f>
        <v>——</v>
      </c>
      <c r="I111" s="138"/>
    </row>
    <row r="112" spans="1:35" ht="18.75" customHeight="1" thickBot="1">
      <c r="A112" s="138"/>
      <c r="B112" s="138"/>
      <c r="C112" s="138"/>
      <c r="D112" s="138"/>
      <c r="E112" s="3169"/>
      <c r="F112" s="3170"/>
      <c r="G112" s="2529" t="s">
        <v>2304</v>
      </c>
      <c r="H112" s="790" t="str">
        <f>IF(E111="——","——",N61)</f>
        <v>——</v>
      </c>
      <c r="I112" s="138"/>
    </row>
    <row r="113" spans="1:11" ht="18.75" customHeight="1">
      <c r="A113" s="138"/>
      <c r="B113" s="138"/>
      <c r="C113" s="138"/>
      <c r="D113" s="138"/>
      <c r="E113" s="3137" t="s">
        <v>2310</v>
      </c>
      <c r="F113" s="3137"/>
      <c r="G113" s="3137"/>
      <c r="H113" s="3137"/>
      <c r="I113" s="138"/>
    </row>
    <row r="114" spans="1:11" ht="3.75" customHeight="1">
      <c r="A114" s="2422"/>
      <c r="B114" s="2422"/>
      <c r="C114" s="2422"/>
      <c r="D114" s="2422"/>
      <c r="E114" s="2500"/>
      <c r="F114" s="2500"/>
      <c r="G114" s="2500"/>
      <c r="H114" s="2500"/>
      <c r="I114" s="2422"/>
    </row>
    <row r="115" spans="1:11" ht="18.75" customHeight="1">
      <c r="A115" s="3150" t="s">
        <v>2312</v>
      </c>
      <c r="B115" s="3151"/>
      <c r="C115" s="3151"/>
      <c r="D115" s="3151"/>
      <c r="E115" s="3151"/>
      <c r="F115" s="3151"/>
      <c r="G115" s="3151"/>
      <c r="H115" s="3151"/>
      <c r="I115" s="3152"/>
    </row>
    <row r="116" spans="1:11" ht="27" customHeight="1">
      <c r="A116" s="3043" t="s">
        <v>2313</v>
      </c>
      <c r="B116" s="3138" t="s">
        <v>2314</v>
      </c>
      <c r="C116" s="3138" t="s">
        <v>2315</v>
      </c>
      <c r="D116" s="3154" t="s">
        <v>2316</v>
      </c>
      <c r="E116" s="3155"/>
      <c r="F116" s="3146" t="s">
        <v>2317</v>
      </c>
      <c r="G116" s="3146"/>
      <c r="H116" s="3043" t="s">
        <v>2318</v>
      </c>
      <c r="I116" s="3043"/>
    </row>
    <row r="117" spans="1:11" ht="18.75" customHeight="1">
      <c r="A117" s="3043"/>
      <c r="B117" s="3139"/>
      <c r="C117" s="3139"/>
      <c r="D117" s="1798" t="s">
        <v>2319</v>
      </c>
      <c r="E117" s="1798" t="s">
        <v>2320</v>
      </c>
      <c r="F117" s="1798" t="s">
        <v>2319</v>
      </c>
      <c r="G117" s="1798" t="s">
        <v>2321</v>
      </c>
      <c r="H117" s="1798" t="s">
        <v>2319</v>
      </c>
      <c r="I117" s="1798" t="s">
        <v>2321</v>
      </c>
    </row>
    <row r="118" spans="1:11" ht="24.75" customHeight="1">
      <c r="A118" s="2530" t="str">
        <f>项目基本情况!S2</f>
        <v>天津市房地产</v>
      </c>
      <c r="B118" s="1798">
        <f>M18</f>
        <v>25223.160000000011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214</v>
      </c>
      <c r="I118" s="1798">
        <f ca="1">ROUND(IF(D32="楼面单价",C32,H118*10000/B118),0)</f>
        <v>85</v>
      </c>
    </row>
    <row r="119" spans="1:11" ht="18.75" customHeight="1">
      <c r="A119" s="3043" t="s">
        <v>2322</v>
      </c>
      <c r="B119" s="3043"/>
      <c r="C119" s="3043"/>
      <c r="D119" s="3143" t="e">
        <f ca="1">NUMBERSTRING(INT(D118*10000),2)&amp;"元整"</f>
        <v>#REF!</v>
      </c>
      <c r="E119" s="3145"/>
      <c r="F119" s="3143" t="e">
        <f ca="1">NUMBERSTRING(INT(F118*10000),2)&amp;"元整"</f>
        <v>#REF!</v>
      </c>
      <c r="G119" s="3145"/>
      <c r="H119" s="3143" t="str">
        <f ca="1">NUMBERSTRING(INT(H118*10000),2)&amp;"元整"</f>
        <v>贰佰壹拾肆万元整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27" t="str">
        <f>IF(D120=0,"故，本次评估不存在"&amp;A120,"故，本次评估"&amp;A120&amp;"为人民币"&amp;D120&amp;"万元整。")</f>
        <v>故，本次评估不存在估价师知悉的法定优先受偿款</v>
      </c>
    </row>
    <row r="121" spans="1:11" ht="18.75" customHeight="1">
      <c r="A121" s="3147" t="s">
        <v>2322</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214</v>
      </c>
      <c r="E122" s="3172"/>
      <c r="F122" s="3172"/>
      <c r="G122" s="3172"/>
      <c r="H122" s="3172"/>
      <c r="I122" s="3173"/>
    </row>
    <row r="123" spans="1:11" ht="18.75" customHeight="1">
      <c r="A123" s="3043" t="s">
        <v>2322</v>
      </c>
      <c r="B123" s="3043"/>
      <c r="C123" s="3043"/>
      <c r="D123" s="3143" t="str">
        <f ca="1">NUMBERSTRING(INT(D122*10000),2)&amp;"元整"</f>
        <v>贰佰壹拾肆万元整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2322</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2322</v>
      </c>
      <c r="B127" s="3043"/>
      <c r="C127" s="3043"/>
      <c r="D127" s="3143" t="e">
        <f>NUMBERSTRING(INT(D126*10000),2)&amp;"元整"</f>
        <v>#VALUE!</v>
      </c>
      <c r="E127" s="3144"/>
      <c r="F127" s="3144"/>
      <c r="G127" s="3144"/>
      <c r="H127" s="3144"/>
      <c r="I127" s="3145"/>
    </row>
    <row r="128" spans="1:11" ht="21.75" customHeight="1">
      <c r="A128" s="3153" t="s">
        <v>2323</v>
      </c>
      <c r="B128" s="3153"/>
      <c r="C128" s="3153"/>
      <c r="D128" s="3153"/>
      <c r="E128" s="3153"/>
      <c r="F128" s="3153"/>
      <c r="G128" s="3153"/>
      <c r="H128" s="3153"/>
      <c r="I128" s="3153"/>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1335</v>
      </c>
      <c r="C2" s="243" t="s">
        <v>2333</v>
      </c>
      <c r="D2" s="2553" t="s">
        <v>70</v>
      </c>
      <c r="E2" s="1443" t="e">
        <f ca="1">SUMIF(INDIRECT("'"&amp;G2&amp;"'"&amp;"!A:A"),"承租人权益价值",INDIRECT("'"&amp;G2&amp;"'"&amp;"!c:c"))</f>
        <v>#REF!</v>
      </c>
      <c r="F2" s="2554" t="s">
        <v>2333</v>
      </c>
      <c r="G2" s="2555"/>
    </row>
    <row r="3" spans="1:9" s="244" customFormat="1" ht="18" customHeight="1" thickBot="1">
      <c r="A3" s="247" t="s">
        <v>2334</v>
      </c>
      <c r="B3" s="248">
        <f ca="1">ROUND(B2*10000/(IF(B1="",'数据-汇总表'!E3,INDIRECT("'数据-取费表'!k"&amp;$G$1))),0)</f>
        <v>529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6"/>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165</v>
      </c>
      <c r="F9" s="265"/>
      <c r="G9" s="2557"/>
      <c r="H9" s="1393"/>
      <c r="I9" s="2558" t="s">
        <v>2349</v>
      </c>
    </row>
    <row r="10" spans="1:9" s="258" customFormat="1" ht="13.5" customHeight="1">
      <c r="A10" s="953" t="s">
        <v>801</v>
      </c>
      <c r="B10" s="268" t="s">
        <v>2350</v>
      </c>
      <c r="C10" s="269">
        <f ca="1">ROUND(D10*E10/10000,0)</f>
        <v>504</v>
      </c>
      <c r="D10" s="1035">
        <f ca="1">IF(B1="",'数据-汇总表'!E6,IF(INDIRECT("'数据-取费表'!c"&amp;$G$1)="住宅",INDIRECT("'数据-取费表'!s"&amp;$G$1),INDIRECT("'数据-取费表'!k"&amp;$G$1)+INDIRECT("'数据-取费表'!s"&amp;$G$1)))</f>
        <v>25223.160000000011</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504</v>
      </c>
      <c r="D19" s="1039">
        <f ca="1">D9+D10</f>
        <v>25223.160000000011</v>
      </c>
      <c r="E19" s="255">
        <f>'数据-取费表'!B31</f>
        <v>200</v>
      </c>
      <c r="F19" s="275"/>
      <c r="G19" s="2556"/>
    </row>
    <row r="20" spans="1:7" s="258" customFormat="1" ht="13.5" customHeight="1">
      <c r="A20" s="299" t="s">
        <v>2363</v>
      </c>
      <c r="B20" s="254" t="s">
        <v>2364</v>
      </c>
      <c r="C20" s="276">
        <f ca="1">ROUND((C5+C19)*F20,0)</f>
        <v>10</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63</v>
      </c>
      <c r="D22" s="279">
        <f ca="1">C26</f>
        <v>1.1999999999999999E-3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62</v>
      </c>
      <c r="D24" s="282"/>
      <c r="E24" s="282"/>
      <c r="F24" s="283"/>
      <c r="G24" s="284" t="s">
        <v>2377</v>
      </c>
    </row>
    <row r="25" spans="1:7" s="258" customFormat="1" ht="24">
      <c r="A25" s="954" t="s">
        <v>2378</v>
      </c>
      <c r="B25" s="259" t="s">
        <v>2379</v>
      </c>
      <c r="C25" s="1358">
        <f ca="1">ROUND(IF('数据-取费表'!B22&lt;=1,C20*F22*'数据-取费表'!B23/2,C20*(POWER((1+F22),'数据-取费表'!B23/2)-1)),0)</f>
        <v>1</v>
      </c>
      <c r="D25" s="282"/>
      <c r="E25" s="285"/>
      <c r="F25" s="283"/>
      <c r="G25" s="286" t="s">
        <v>2380</v>
      </c>
    </row>
    <row r="26" spans="1:7" s="258" customFormat="1">
      <c r="A26" s="954" t="s">
        <v>795</v>
      </c>
      <c r="B26" s="259" t="s">
        <v>2381</v>
      </c>
      <c r="C26" s="282">
        <f ca="1">ROUND(IF('数据-取费表'!B22&lt;=1,F21*F22*'数据-取费表'!B23/2,F21*(POWER((1+F22),'数据-取费表'!B23/2)-1)),4)</f>
        <v>1.1999999999999999E-3</v>
      </c>
      <c r="D26" s="282"/>
      <c r="E26" s="285"/>
      <c r="F26" s="283"/>
      <c r="G26" s="287"/>
    </row>
    <row r="27" spans="1:7" s="258" customFormat="1" ht="24.75">
      <c r="A27" s="299" t="s">
        <v>2382</v>
      </c>
      <c r="B27" s="288" t="s">
        <v>2383</v>
      </c>
      <c r="C27" s="289">
        <f ca="1">C28</f>
        <v>77</v>
      </c>
      <c r="D27" s="279">
        <f ca="1">C29</f>
        <v>3.0000000000000001E-3</v>
      </c>
      <c r="E27" s="280" t="s">
        <v>2384</v>
      </c>
      <c r="F27" s="290">
        <f ca="1">IF(B1="",'数据-取费表'!Q16,INDIRECT("'数据-取费表'!q"&amp;$G$1))</f>
        <v>0.15</v>
      </c>
      <c r="G27" s="291" t="s">
        <v>2385</v>
      </c>
    </row>
    <row r="28" spans="1:7" s="258" customFormat="1" ht="13.5" customHeight="1">
      <c r="A28" s="954" t="s">
        <v>791</v>
      </c>
      <c r="B28" s="292" t="s">
        <v>2386</v>
      </c>
      <c r="C28" s="293">
        <f ca="1">ROUND((C5+C19+C20)*F27*'数据-取费表'!B21/'数据-取费表'!B20,0)</f>
        <v>77</v>
      </c>
      <c r="D28" s="279"/>
      <c r="E28" s="280"/>
      <c r="F28" s="290"/>
      <c r="G28" s="291"/>
    </row>
    <row r="29" spans="1:7" s="258" customFormat="1" ht="13.5" customHeight="1">
      <c r="A29" s="954" t="s">
        <v>792</v>
      </c>
      <c r="B29" s="292" t="s">
        <v>2387</v>
      </c>
      <c r="C29" s="282">
        <f ca="1">ROUND(C21*F27*'数据-取费表'!B21/'数据-取费表'!B20,4)</f>
        <v>3.0000000000000001E-3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709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538</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2396</v>
      </c>
    </row>
    <row r="35" spans="1:7" ht="13.5" customHeight="1">
      <c r="A35" s="954" t="s">
        <v>796</v>
      </c>
      <c r="B35" s="259" t="s">
        <v>2397</v>
      </c>
      <c r="C35" s="264">
        <f ca="1">ROUND(C34*F35,0)</f>
        <v>1</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504</v>
      </c>
      <c r="D37" s="261">
        <f ca="1">D19</f>
        <v>25223.160000000011</v>
      </c>
      <c r="E37" s="293">
        <f>'数据-取费表'!B35</f>
        <v>200</v>
      </c>
      <c r="F37" s="303"/>
      <c r="G37" s="305" t="s">
        <v>2402</v>
      </c>
    </row>
    <row r="38" spans="1:7" ht="13.5" customHeight="1">
      <c r="A38" s="954" t="s">
        <v>799</v>
      </c>
      <c r="B38" s="259" t="s">
        <v>2403</v>
      </c>
      <c r="C38" s="264">
        <f ca="1">ROUND(C34*F38,0)</f>
        <v>0</v>
      </c>
      <c r="D38" s="264"/>
      <c r="E38" s="264"/>
      <c r="F38" s="303">
        <f>'数据-取费表'!B36</f>
        <v>1.4999999999999999E-2</v>
      </c>
      <c r="G38" s="263" t="s">
        <v>2398</v>
      </c>
    </row>
    <row r="39" spans="1:7" s="258" customFormat="1" ht="13.5" customHeight="1">
      <c r="A39" s="299" t="s">
        <v>2404</v>
      </c>
      <c r="B39" s="254" t="s">
        <v>2405</v>
      </c>
      <c r="C39" s="276">
        <f ca="1">ROUND(C33*F20,0)</f>
        <v>11</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33</v>
      </c>
      <c r="D41" s="279">
        <f ca="1">C44</f>
        <v>1.1999999999999999E-3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32</v>
      </c>
      <c r="D42" s="282"/>
      <c r="E42" s="282"/>
      <c r="F42" s="283"/>
      <c r="G42" s="3185" t="s">
        <v>2414</v>
      </c>
    </row>
    <row r="43" spans="1:7" ht="13.5" customHeight="1">
      <c r="A43" s="954" t="s">
        <v>792</v>
      </c>
      <c r="B43" s="259" t="s">
        <v>2415</v>
      </c>
      <c r="C43" s="282">
        <f ca="1">ROUND(IF('数据-取费表'!B22&lt;=1,C39*F22*'数据-取费表'!B21/2,C39*(POWER((1+F22),'数据-取费表'!B21/2)-1)),0)</f>
        <v>1</v>
      </c>
      <c r="D43" s="282"/>
      <c r="E43" s="282"/>
      <c r="F43" s="283"/>
      <c r="G43" s="3186"/>
    </row>
    <row r="44" spans="1:7" ht="13.5" customHeight="1">
      <c r="A44" s="954" t="s">
        <v>793</v>
      </c>
      <c r="B44" s="259" t="s">
        <v>2416</v>
      </c>
      <c r="C44" s="282">
        <f ca="1">ROUND(IF('数据-取费表'!B22&lt;=1,C40*F22*'数据-取费表'!B21/2,C40*(POWER((1+F22),'数据-取费表'!B21/2)-1)),4)</f>
        <v>1.1999999999999999E-3</v>
      </c>
      <c r="D44" s="282"/>
      <c r="E44" s="282"/>
      <c r="F44" s="283"/>
      <c r="G44" s="3187"/>
    </row>
    <row r="45" spans="1:7" s="258" customFormat="1" ht="13.5" customHeight="1">
      <c r="A45" s="299" t="s">
        <v>2417</v>
      </c>
      <c r="B45" s="288" t="s">
        <v>2383</v>
      </c>
      <c r="C45" s="289">
        <f ca="1">C46</f>
        <v>82</v>
      </c>
      <c r="D45" s="279">
        <f ca="1">C47</f>
        <v>3.0000000000000001E-3</v>
      </c>
      <c r="E45" s="280" t="s">
        <v>2409</v>
      </c>
      <c r="F45" s="290"/>
      <c r="G45" s="291" t="s">
        <v>2418</v>
      </c>
    </row>
    <row r="46" spans="1:7" s="258" customFormat="1" ht="13.5" customHeight="1">
      <c r="A46" s="954" t="s">
        <v>791</v>
      </c>
      <c r="B46" s="292" t="s">
        <v>2419</v>
      </c>
      <c r="C46" s="293">
        <f ca="1">ROUND((C33+C39)*F27,0)</f>
        <v>82</v>
      </c>
      <c r="D46" s="307"/>
      <c r="E46" s="280"/>
      <c r="F46" s="290"/>
      <c r="G46" s="291"/>
    </row>
    <row r="47" spans="1:7" s="258" customFormat="1" ht="13.5" customHeight="1">
      <c r="A47" s="954" t="s">
        <v>792</v>
      </c>
      <c r="B47" s="292" t="s">
        <v>2420</v>
      </c>
      <c r="C47" s="282">
        <f ca="1">ROUND(C40*F27,4)</f>
        <v>3.0000000000000001E-3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720</v>
      </c>
      <c r="D49" s="276"/>
      <c r="E49" s="276"/>
      <c r="F49" s="308"/>
      <c r="G49" s="278" t="s">
        <v>2424</v>
      </c>
    </row>
    <row r="50" spans="1:7" s="302" customFormat="1" ht="24">
      <c r="A50" s="299" t="s">
        <v>2425</v>
      </c>
      <c r="B50" s="254" t="s">
        <v>2426</v>
      </c>
      <c r="C50" s="276"/>
      <c r="D50" s="276"/>
      <c r="E50" s="276"/>
      <c r="F50" s="308">
        <f>IF('数据-取费表'!B24=0,'数据-取费表'!N16,1)</f>
        <v>0.87</v>
      </c>
      <c r="G50" s="291" t="s">
        <v>2427</v>
      </c>
    </row>
    <row r="51" spans="1:7" ht="16.5" customHeight="1">
      <c r="A51" s="299" t="s">
        <v>2428</v>
      </c>
      <c r="B51" s="254" t="s">
        <v>2429</v>
      </c>
      <c r="C51" s="276">
        <f ca="1">ROUND(C49*F50,0)</f>
        <v>626</v>
      </c>
      <c r="D51" s="276"/>
      <c r="E51" s="276"/>
      <c r="F51" s="308"/>
      <c r="G51" s="278" t="s">
        <v>2430</v>
      </c>
    </row>
    <row r="52" spans="1:7" s="252" customFormat="1" ht="16.5" thickBot="1">
      <c r="A52" s="309" t="s">
        <v>2431</v>
      </c>
      <c r="B52" s="310"/>
      <c r="C52" s="311">
        <f ca="1">C31+C51</f>
        <v>1335</v>
      </c>
      <c r="D52" s="310"/>
      <c r="E52" s="310"/>
      <c r="F52" s="310"/>
      <c r="G52" s="312"/>
    </row>
    <row r="55" spans="1:7" ht="15">
      <c r="B55" s="314" t="s">
        <v>2432</v>
      </c>
      <c r="C55" s="315"/>
    </row>
    <row r="56" spans="1:7">
      <c r="B56" s="317" t="s">
        <v>1513</v>
      </c>
      <c r="C56" s="319">
        <f ca="1">1-C57</f>
        <v>0.53100000000000003</v>
      </c>
    </row>
    <row r="57" spans="1:7">
      <c r="B57" s="317" t="s">
        <v>1514</v>
      </c>
      <c r="C57" s="318">
        <f ca="1">ROUND(C51/C52,3)</f>
        <v>0.46899999999999997</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9" t="str">
        <f>项目基本情况!B1</f>
        <v>天津市预评估</v>
      </c>
      <c r="C37" s="2999"/>
      <c r="D37" s="2999"/>
      <c r="E37" s="2999"/>
      <c r="F37" s="2999"/>
      <c r="G37" s="2999"/>
      <c r="H37" s="2999"/>
      <c r="I37" s="299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9"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2046</v>
      </c>
      <c r="C2" s="243" t="s">
        <v>2333</v>
      </c>
      <c r="D2" s="2553" t="s">
        <v>70</v>
      </c>
      <c r="E2" s="1443" t="e">
        <f ca="1">SUMIF(INDIRECT("'"&amp;G2&amp;"'"&amp;"!A:A"),"承租人权益价值",INDIRECT("'"&amp;G2&amp;"'"&amp;"!c:c"))</f>
        <v>#REF!</v>
      </c>
      <c r="F2" s="2554" t="s">
        <v>2333</v>
      </c>
      <c r="G2" s="2555"/>
    </row>
    <row r="3" spans="1:8" s="244" customFormat="1" ht="18" customHeight="1" thickBot="1">
      <c r="A3" s="247" t="s">
        <v>2334</v>
      </c>
      <c r="B3" s="248">
        <f ca="1">ROUND(B2*10000/(IF(B1="",'数据-汇总表'!E3,INDIRECT("'数据-取费表'!k"&amp;$G$1))),0)</f>
        <v>811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5044632</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5044632</v>
      </c>
      <c r="D8" s="266"/>
      <c r="E8" s="264"/>
      <c r="F8" s="265"/>
      <c r="G8" s="2556"/>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165</v>
      </c>
      <c r="F9" s="265"/>
      <c r="G9" s="270"/>
    </row>
    <row r="10" spans="1:8" s="258" customFormat="1" ht="13.5" customHeight="1">
      <c r="A10" s="953" t="s">
        <v>801</v>
      </c>
      <c r="B10" s="268" t="s">
        <v>2350</v>
      </c>
      <c r="C10" s="269">
        <f ca="1">ROUND(D10*E10,0)</f>
        <v>5044632</v>
      </c>
      <c r="D10" s="1035">
        <f ca="1">IF(B1="",'数据-汇总表'!E6,IF(INDIRECT("'数据-取费表'!c"&amp;$G$1)="住宅",INDIRECT("'数据-取费表'!s"&amp;$G$1),INDIRECT("'数据-取费表'!k"&amp;$G$1)+INDIRECT("'数据-取费表'!s"&amp;$G$1)))</f>
        <v>25223.160000000011</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5044632</v>
      </c>
      <c r="D19" s="1039">
        <f ca="1">D9+D10</f>
        <v>25223.160000000011</v>
      </c>
      <c r="E19" s="255">
        <f>'数据-取费表'!B31</f>
        <v>200</v>
      </c>
      <c r="F19" s="275"/>
      <c r="G19" s="2556"/>
    </row>
    <row r="20" spans="1:7" s="258" customFormat="1" ht="13.5" customHeight="1">
      <c r="A20" s="299" t="s">
        <v>2444</v>
      </c>
      <c r="B20" s="254" t="s">
        <v>2445</v>
      </c>
      <c r="C20" s="276">
        <f ca="1">ROUND((C5+C19)*F20,0)</f>
        <v>201785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1253169</v>
      </c>
      <c r="D22" s="279">
        <f ca="1">C26</f>
        <v>1.1999999999999999E-3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620559</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620559</v>
      </c>
      <c r="D24" s="282"/>
      <c r="E24" s="282"/>
      <c r="F24" s="283"/>
      <c r="G24" s="284" t="s">
        <v>2456</v>
      </c>
    </row>
    <row r="25" spans="1:7" s="258" customFormat="1" ht="24">
      <c r="A25" s="954" t="s">
        <v>2346</v>
      </c>
      <c r="B25" s="259" t="s">
        <v>2457</v>
      </c>
      <c r="C25" s="1384">
        <f ca="1">ROUND(IF('数据-取费表'!B22&lt;=1,C20*F22*'数据-取费表'!B22/2,C20*(POWER((1+F22),'数据-取费表'!B22/2)-1)),0)</f>
        <v>12051</v>
      </c>
      <c r="D25" s="282"/>
      <c r="E25" s="285"/>
      <c r="F25" s="283"/>
      <c r="G25" s="286" t="s">
        <v>2458</v>
      </c>
    </row>
    <row r="26" spans="1:7" s="258" customFormat="1">
      <c r="A26" s="954" t="s">
        <v>795</v>
      </c>
      <c r="B26" s="259" t="s">
        <v>2381</v>
      </c>
      <c r="C26" s="282">
        <f ca="1">ROUND(IF('数据-取费表'!B22&lt;=1,F21*F22*'数据-取费表'!B22/2,F21*(POWER((1+F22),'数据-取费表'!B22/2)-1)),4)</f>
        <v>1.1999999999999999E-3</v>
      </c>
      <c r="D26" s="282"/>
      <c r="E26" s="285"/>
      <c r="F26" s="283"/>
      <c r="G26" s="287"/>
    </row>
    <row r="27" spans="1:7" s="258" customFormat="1" ht="24.75">
      <c r="A27" s="299" t="s">
        <v>2382</v>
      </c>
      <c r="B27" s="288" t="s">
        <v>2383</v>
      </c>
      <c r="C27" s="289">
        <f ca="1">C28</f>
        <v>1543657</v>
      </c>
      <c r="D27" s="279">
        <f ca="1">C29</f>
        <v>3.0000000000000001E-3</v>
      </c>
      <c r="E27" s="280" t="s">
        <v>2384</v>
      </c>
      <c r="F27" s="290">
        <f ca="1">IF(B1="",'数据-取费表'!Q16,INDIRECT("'数据-取费表'!q"&amp;$G$1))</f>
        <v>0.15</v>
      </c>
      <c r="G27" s="291" t="s">
        <v>2385</v>
      </c>
    </row>
    <row r="28" spans="1:7" s="258" customFormat="1" ht="13.5" customHeight="1">
      <c r="A28" s="954" t="s">
        <v>791</v>
      </c>
      <c r="B28" s="292" t="s">
        <v>2386</v>
      </c>
      <c r="C28" s="293">
        <f ca="1">ROUND((C5+C19+C20)*F27,0)</f>
        <v>1543657</v>
      </c>
      <c r="D28" s="279"/>
      <c r="E28" s="280"/>
      <c r="F28" s="290"/>
      <c r="G28" s="291"/>
    </row>
    <row r="29" spans="1:7" s="258" customFormat="1" ht="13.5" customHeight="1">
      <c r="A29" s="954" t="s">
        <v>792</v>
      </c>
      <c r="B29" s="292" t="s">
        <v>2387</v>
      </c>
      <c r="C29" s="282">
        <f ca="1">ROUND(C21*F27,4)</f>
        <v>3.0000000000000001E-3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14187398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5388468</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329030</v>
      </c>
      <c r="D34" s="261"/>
      <c r="E34" s="264"/>
      <c r="F34" s="301"/>
      <c r="G34" s="263"/>
    </row>
    <row r="35" spans="1:7" ht="13.5" customHeight="1">
      <c r="A35" s="954" t="s">
        <v>796</v>
      </c>
      <c r="B35" s="259" t="s">
        <v>2397</v>
      </c>
      <c r="C35" s="264">
        <f ca="1">ROUND(C34*F35,0)</f>
        <v>9871</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5044632</v>
      </c>
      <c r="D37" s="261">
        <f ca="1">D19</f>
        <v>25223.160000000011</v>
      </c>
      <c r="E37" s="293">
        <f>'数据-取费表'!B35</f>
        <v>200</v>
      </c>
      <c r="F37" s="303"/>
      <c r="G37" s="305"/>
    </row>
    <row r="38" spans="1:7" ht="13.5" customHeight="1">
      <c r="A38" s="954" t="s">
        <v>799</v>
      </c>
      <c r="B38" s="259" t="s">
        <v>2403</v>
      </c>
      <c r="C38" s="264">
        <f ca="1">ROUND(C34*F38,0)</f>
        <v>4935</v>
      </c>
      <c r="D38" s="264"/>
      <c r="E38" s="264"/>
      <c r="F38" s="303">
        <f>'数据-取费表'!B36</f>
        <v>1.4999999999999999E-2</v>
      </c>
      <c r="G38" s="263" t="s">
        <v>2398</v>
      </c>
    </row>
    <row r="39" spans="1:7" s="258" customFormat="1" ht="13.5" customHeight="1">
      <c r="A39" s="299" t="s">
        <v>2404</v>
      </c>
      <c r="B39" s="254" t="s">
        <v>2405</v>
      </c>
      <c r="C39" s="276">
        <f ca="1">ROUND(C33*F20,0)</f>
        <v>107769</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328254</v>
      </c>
      <c r="D41" s="279">
        <f ca="1">C44</f>
        <v>1.1999999999999999E-3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321818</v>
      </c>
      <c r="D42" s="282"/>
      <c r="E42" s="282"/>
      <c r="F42" s="283"/>
      <c r="G42" s="3185" t="s">
        <v>2461</v>
      </c>
    </row>
    <row r="43" spans="1:7" ht="13.5" customHeight="1">
      <c r="A43" s="954" t="s">
        <v>792</v>
      </c>
      <c r="B43" s="259" t="s">
        <v>2415</v>
      </c>
      <c r="C43" s="282">
        <f ca="1">ROUND(IF('数据-取费表'!B22&lt;=1,C39*F22*'数据-取费表'!B20/2,C39*(POWER((1+F22),'数据-取费表'!B20/2)-1)),0)</f>
        <v>6436</v>
      </c>
      <c r="D43" s="282"/>
      <c r="E43" s="282"/>
      <c r="F43" s="283"/>
      <c r="G43" s="3186"/>
    </row>
    <row r="44" spans="1:7" ht="13.5" customHeight="1">
      <c r="A44" s="954" t="s">
        <v>793</v>
      </c>
      <c r="B44" s="259" t="s">
        <v>2416</v>
      </c>
      <c r="C44" s="282">
        <f ca="1">ROUND(IF('数据-取费表'!B22&lt;=1,C40*F22*'数据-取费表'!B20/2,C40*(POWER((1+F22),'数据-取费表'!B20/2)-1)),4)</f>
        <v>1.1999999999999999E-3</v>
      </c>
      <c r="D44" s="282"/>
      <c r="E44" s="282"/>
      <c r="F44" s="283"/>
      <c r="G44" s="3187"/>
    </row>
    <row r="45" spans="1:7" s="258" customFormat="1" ht="13.5" customHeight="1">
      <c r="A45" s="299" t="s">
        <v>2417</v>
      </c>
      <c r="B45" s="288" t="s">
        <v>2383</v>
      </c>
      <c r="C45" s="289">
        <f ca="1">C46</f>
        <v>824436</v>
      </c>
      <c r="D45" s="279">
        <f ca="1">C47</f>
        <v>3.0000000000000001E-3</v>
      </c>
      <c r="E45" s="280" t="s">
        <v>2409</v>
      </c>
      <c r="F45" s="290"/>
      <c r="G45" s="291" t="s">
        <v>2418</v>
      </c>
    </row>
    <row r="46" spans="1:7" s="258" customFormat="1" ht="13.5" customHeight="1">
      <c r="A46" s="954" t="s">
        <v>791</v>
      </c>
      <c r="B46" s="292" t="s">
        <v>2419</v>
      </c>
      <c r="C46" s="293">
        <f ca="1">ROUND((C33+C39)*F27,0)</f>
        <v>824436</v>
      </c>
      <c r="D46" s="307"/>
      <c r="E46" s="280"/>
      <c r="F46" s="290"/>
      <c r="G46" s="291"/>
    </row>
    <row r="47" spans="1:7" s="258" customFormat="1" ht="13.5" customHeight="1">
      <c r="A47" s="954" t="s">
        <v>792</v>
      </c>
      <c r="B47" s="292" t="s">
        <v>2420</v>
      </c>
      <c r="C47" s="282">
        <f ca="1">ROUND(C40*F27,4)</f>
        <v>3.0000000000000001E-3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7207509</v>
      </c>
      <c r="D49" s="276"/>
      <c r="E49" s="276"/>
      <c r="F49" s="308"/>
      <c r="G49" s="278" t="s">
        <v>2424</v>
      </c>
    </row>
    <row r="50" spans="1:7" s="302" customFormat="1">
      <c r="A50" s="299" t="s">
        <v>2425</v>
      </c>
      <c r="B50" s="254" t="s">
        <v>2426</v>
      </c>
      <c r="C50" s="276"/>
      <c r="D50" s="276"/>
      <c r="E50" s="276"/>
      <c r="F50" s="308">
        <f>IF('数据-取费表'!B24=0,'数据-取费表'!N16,1)</f>
        <v>0.87</v>
      </c>
      <c r="G50" s="291"/>
    </row>
    <row r="51" spans="1:7" ht="16.5" customHeight="1">
      <c r="A51" s="299" t="s">
        <v>2428</v>
      </c>
      <c r="B51" s="254" t="s">
        <v>2463</v>
      </c>
      <c r="C51" s="276">
        <f ca="1">ROUND(C49*F50,0)</f>
        <v>6270533</v>
      </c>
      <c r="D51" s="276"/>
      <c r="E51" s="276"/>
      <c r="F51" s="308"/>
      <c r="G51" s="278" t="s">
        <v>2430</v>
      </c>
    </row>
    <row r="52" spans="1:7" s="252" customFormat="1" ht="16.5" thickBot="1">
      <c r="A52" s="309" t="s">
        <v>2431</v>
      </c>
      <c r="B52" s="310"/>
      <c r="C52" s="311">
        <f ca="1">C31+C51</f>
        <v>20457931</v>
      </c>
      <c r="D52" s="310"/>
      <c r="E52" s="310"/>
      <c r="F52" s="310"/>
      <c r="G52" s="312"/>
    </row>
    <row r="55" spans="1:7" ht="15">
      <c r="B55" s="314" t="s">
        <v>2432</v>
      </c>
      <c r="C55" s="315"/>
    </row>
    <row r="56" spans="1:7">
      <c r="B56" s="317" t="s">
        <v>1513</v>
      </c>
      <c r="C56" s="319">
        <f ca="1">1-C57</f>
        <v>0.69300000000000006</v>
      </c>
    </row>
    <row r="57" spans="1:7">
      <c r="B57" s="317" t="s">
        <v>1514</v>
      </c>
      <c r="C57" s="318">
        <f ca="1">ROUND(C51/C52,3)</f>
        <v>0.307</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-574</v>
      </c>
      <c r="C2" s="320" t="s">
        <v>2465</v>
      </c>
      <c r="D2" s="320"/>
      <c r="E2" s="320"/>
      <c r="F2" s="320"/>
      <c r="G2" s="320"/>
      <c r="H2" s="320"/>
      <c r="I2" s="320"/>
      <c r="J2" s="320"/>
      <c r="K2" s="320"/>
    </row>
    <row r="3" spans="1:33" ht="18" customHeight="1" thickBot="1">
      <c r="A3" s="247" t="s">
        <v>2334</v>
      </c>
      <c r="B3" s="248">
        <f ca="1">ROUND(B2*10000/IF(C1="",'数据-汇总表'!E3,INDIRECT("'数据-取费表'!K"&amp;$K$1)),0)</f>
        <v>-228</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25223.160000000011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25223.160000000011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504</v>
      </c>
      <c r="D18" s="1036"/>
      <c r="E18" s="24"/>
      <c r="F18" s="979"/>
      <c r="G18" s="2562"/>
      <c r="H18" s="1580"/>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165</v>
      </c>
      <c r="F19" s="979"/>
      <c r="G19" s="15"/>
      <c r="H19" s="1582"/>
      <c r="I19" s="984"/>
      <c r="J19" s="984"/>
      <c r="K19" s="985"/>
    </row>
    <row r="20" spans="1:33" s="978" customFormat="1" ht="13.5" customHeight="1">
      <c r="A20" s="974" t="s">
        <v>806</v>
      </c>
      <c r="B20" s="975" t="s">
        <v>2500</v>
      </c>
      <c r="C20" s="24">
        <f ca="1">ROUND(D20*E20/10000,0)</f>
        <v>504</v>
      </c>
      <c r="D20" s="1036">
        <f ca="1">IF(C1="",'数据-汇总表'!E6,IF(INDIRECT("'数据-取费表'!c"&amp;$K$1)="住宅",INDIRECT("'数据-取费表'!s"&amp;$K$1),INDIRECT("'数据-取费表'!k"&amp;$K$1)+INDIRECT("'数据-取费表'!s"&amp;$K$1)))</f>
        <v>25223.160000000011</v>
      </c>
      <c r="E20" s="24">
        <f>'数据-取费表'!B28</f>
        <v>200</v>
      </c>
      <c r="F20" s="979"/>
      <c r="G20" s="15"/>
      <c r="H20" s="984"/>
      <c r="I20" s="984"/>
      <c r="J20" s="984"/>
      <c r="K20" s="985"/>
    </row>
    <row r="21" spans="1:33" s="978" customFormat="1" ht="13.5" customHeight="1">
      <c r="A21" s="964" t="s">
        <v>802</v>
      </c>
      <c r="B21" s="988" t="s">
        <v>2501</v>
      </c>
      <c r="C21" s="989">
        <f ca="1">C16+C17+C18</f>
        <v>504</v>
      </c>
      <c r="D21" s="990"/>
      <c r="E21" s="325"/>
      <c r="F21" s="325"/>
      <c r="G21" s="140" t="s">
        <v>2502</v>
      </c>
      <c r="H21" s="982"/>
      <c r="I21" s="982"/>
      <c r="J21" s="982"/>
      <c r="K21" s="983"/>
    </row>
    <row r="22" spans="1:33" s="978" customFormat="1" ht="13.5" customHeight="1">
      <c r="A22" s="964" t="s">
        <v>2474</v>
      </c>
      <c r="B22" s="988" t="s">
        <v>2503</v>
      </c>
      <c r="C22" s="989">
        <f ca="1">ROUND(C21*F22,0)</f>
        <v>10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77</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77</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-574</v>
      </c>
      <c r="D32" s="1004"/>
      <c r="E32" s="1004"/>
      <c r="F32" s="1004"/>
      <c r="G32" s="1006" t="s">
        <v>2523</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N32" sqref="N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2647</v>
      </c>
      <c r="C1" s="1637" t="s">
        <v>2535</v>
      </c>
      <c r="D1" s="1624" t="s">
        <v>3898</v>
      </c>
      <c r="E1" s="2663"/>
      <c r="F1" s="2590"/>
      <c r="G1" s="1634" t="s">
        <v>2648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2332</v>
      </c>
      <c r="B2" s="1421">
        <f>IF(C2="——",ROUND(C49*D3/10000,0),ROUND(C49*D3/10000,0)-D2)</f>
        <v>224</v>
      </c>
      <c r="C2" s="2592" t="s">
        <v>70</v>
      </c>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f>IF(C2="——",C49,ROUND(B2*10000/D3,0))</f>
        <v>17666.7</v>
      </c>
      <c r="C3" s="400" t="s">
        <v>2649</v>
      </c>
      <c r="D3" s="399">
        <f>IF(D1="",'数据-汇总表'!E3,SUMIF('数据-汇总表'!$C19:$C33,D1,'数据-汇总表'!$E19:$E33))</f>
        <v>126.55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2" t="s">
        <v>2653</v>
      </c>
      <c r="AC4" s="3204" t="s">
        <v>2654</v>
      </c>
    </row>
    <row r="5" spans="1:29"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2"/>
      <c r="AC5" s="3205"/>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5"/>
      <c r="Q6" s="3216"/>
      <c r="R6" s="3219"/>
      <c r="S6" s="3220"/>
      <c r="T6" s="3221"/>
      <c r="U6" s="3222"/>
      <c r="V6" s="3202"/>
      <c r="W6" s="3202"/>
      <c r="X6" s="1816"/>
      <c r="Y6" s="3221"/>
      <c r="Z6" s="3222"/>
      <c r="AA6" s="3206"/>
      <c r="AB6" s="3202"/>
      <c r="AC6" s="3206"/>
    </row>
    <row r="7" spans="1:29" s="117" customFormat="1" ht="15.75" thickBot="1">
      <c r="A7" s="408" t="s">
        <v>2553</v>
      </c>
      <c r="B7" s="409"/>
      <c r="C7" s="410">
        <f>'数据-取费表'!B2</f>
        <v>43362</v>
      </c>
      <c r="D7" s="411">
        <v>100</v>
      </c>
      <c r="E7" s="412">
        <v>43344</v>
      </c>
      <c r="F7" s="413">
        <f>SUMIF(58:58,YEAR(E7)&amp;"-"&amp;MONTH(E7),59:59)</f>
        <v>100</v>
      </c>
      <c r="G7" s="412">
        <v>43344</v>
      </c>
      <c r="H7" s="411">
        <f>SUMIF(58:58,YEAR(G7)&amp;"-"&amp;MONTH(G7),59:59)</f>
        <v>100</v>
      </c>
      <c r="I7" s="412">
        <v>43344</v>
      </c>
      <c r="J7" s="411">
        <f>SUMIF(58:58,YEAR(I7)&amp;"-"&amp;MONTH(I7),59:59)</f>
        <v>100</v>
      </c>
      <c r="K7" s="611"/>
      <c r="L7" s="1135"/>
      <c r="M7" s="1136"/>
      <c r="N7" s="1136"/>
      <c r="O7" s="1136"/>
      <c r="P7" s="3227" t="s">
        <v>2554</v>
      </c>
      <c r="Q7" s="3229"/>
      <c r="R7" s="770" t="s">
        <v>17</v>
      </c>
      <c r="S7" s="771">
        <f t="shared" ref="S7:S15" si="0">F7</f>
        <v>100</v>
      </c>
      <c r="T7" s="770" t="s">
        <v>17</v>
      </c>
      <c r="U7" s="771">
        <f t="shared" ref="U7:U15" si="1">H7</f>
        <v>100</v>
      </c>
      <c r="V7" s="770" t="s">
        <v>17</v>
      </c>
      <c r="W7" s="771">
        <f t="shared" ref="W7:W15" si="2">J7</f>
        <v>100</v>
      </c>
      <c r="X7" s="772"/>
      <c r="Y7" s="3227" t="s">
        <v>2554</v>
      </c>
      <c r="Z7" s="3228"/>
      <c r="AA7" s="773">
        <f>D7/F7</f>
        <v>1</v>
      </c>
      <c r="AB7" s="773">
        <f>D7/H7</f>
        <v>1</v>
      </c>
      <c r="AC7" s="773">
        <f>D7/J7</f>
        <v>1</v>
      </c>
    </row>
    <row r="8" spans="1:29" s="117" customFormat="1" ht="15.75" thickBot="1">
      <c r="A8" s="408" t="s">
        <v>2555</v>
      </c>
      <c r="B8" s="409"/>
      <c r="C8" s="414" t="s">
        <v>2657</v>
      </c>
      <c r="D8" s="411">
        <v>100</v>
      </c>
      <c r="E8" s="414" t="s">
        <v>2657</v>
      </c>
      <c r="F8" s="413">
        <f>SUMIF(61:61,E8,62:62)-SUMIF(61:61,C8,62:62)+100</f>
        <v>100</v>
      </c>
      <c r="G8" s="414" t="s">
        <v>2657</v>
      </c>
      <c r="H8" s="411">
        <f>SUMIF(61:61,G8,62:62)-SUMIF(61:61,C8,62:62)+100</f>
        <v>100</v>
      </c>
      <c r="I8" s="414" t="s">
        <v>2657</v>
      </c>
      <c r="J8" s="411">
        <f>SUMIF(61:61,I8,62:62)-SUMIF(61:61,C8,62:62)+100</f>
        <v>100</v>
      </c>
      <c r="K8" s="611"/>
      <c r="L8" s="1135"/>
      <c r="M8" s="1136"/>
      <c r="N8" s="1136"/>
      <c r="O8" s="1136"/>
      <c r="P8" s="3227" t="s">
        <v>2557</v>
      </c>
      <c r="Q8" s="3228"/>
      <c r="R8" s="770" t="s">
        <v>17</v>
      </c>
      <c r="S8" s="771">
        <f t="shared" si="0"/>
        <v>100</v>
      </c>
      <c r="T8" s="770" t="s">
        <v>17</v>
      </c>
      <c r="U8" s="771">
        <f t="shared" si="1"/>
        <v>100</v>
      </c>
      <c r="V8" s="770" t="s">
        <v>17</v>
      </c>
      <c r="W8" s="771">
        <f t="shared" si="2"/>
        <v>100</v>
      </c>
      <c r="X8" s="772"/>
      <c r="Y8" s="3227" t="s">
        <v>2557</v>
      </c>
      <c r="Z8" s="3228"/>
      <c r="AA8" s="773">
        <f t="shared" ref="AA8:AA46" si="3">D8/F8</f>
        <v>1</v>
      </c>
      <c r="AB8" s="773">
        <f t="shared" ref="AB8:AB46" si="4">D8/H8</f>
        <v>1</v>
      </c>
      <c r="AC8" s="773">
        <f t="shared" ref="AC8:AC46" si="5">D8/J8</f>
        <v>1</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75" thickBot="1">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3"/>
      <c r="Q11" s="1798"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773">
        <f t="shared" si="5"/>
        <v>1</v>
      </c>
    </row>
    <row r="12" spans="1:29" s="117" customFormat="1" ht="15" hidden="1">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hidden="1">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hidden="1"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2564</v>
      </c>
      <c r="B15" s="69" t="s">
        <v>2658</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3" t="s">
        <v>2565</v>
      </c>
      <c r="Q15" s="1813" t="str">
        <f t="shared" si="6"/>
        <v>商业繁华度</v>
      </c>
      <c r="R15" s="774" t="s">
        <v>17</v>
      </c>
      <c r="S15" s="775">
        <f t="shared" si="0"/>
        <v>100</v>
      </c>
      <c r="T15" s="774" t="s">
        <v>17</v>
      </c>
      <c r="U15" s="775">
        <f t="shared" si="1"/>
        <v>100</v>
      </c>
      <c r="V15" s="774" t="s">
        <v>17</v>
      </c>
      <c r="W15" s="775">
        <f t="shared" si="2"/>
        <v>100</v>
      </c>
      <c r="X15" s="1816"/>
      <c r="Y15" s="3195"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4"/>
      <c r="Q16" s="1813"/>
      <c r="R16" s="774"/>
      <c r="S16" s="775"/>
      <c r="T16" s="774"/>
      <c r="U16" s="775"/>
      <c r="V16" s="774"/>
      <c r="W16" s="775"/>
      <c r="X16" s="1816"/>
      <c r="Y16" s="319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4"/>
      <c r="Q18" s="1813"/>
      <c r="R18" s="774"/>
      <c r="S18" s="775"/>
      <c r="T18" s="774"/>
      <c r="U18" s="775"/>
      <c r="V18" s="774"/>
      <c r="W18" s="775"/>
      <c r="X18" s="1816"/>
      <c r="Y18" s="3196"/>
      <c r="Z18" s="1817"/>
      <c r="AA18" s="1814">
        <v>1</v>
      </c>
      <c r="AB18" s="1814">
        <v>1</v>
      </c>
      <c r="AC18" s="1814">
        <v>1</v>
      </c>
    </row>
    <row r="19" spans="1:29" ht="42.75">
      <c r="A19" s="428"/>
      <c r="B19" s="451" t="s">
        <v>2659</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4"/>
      <c r="Q20" s="1813"/>
      <c r="R20" s="774"/>
      <c r="S20" s="775"/>
      <c r="T20" s="774"/>
      <c r="U20" s="775"/>
      <c r="V20" s="774"/>
      <c r="W20" s="775"/>
      <c r="X20" s="1816"/>
      <c r="Y20" s="3196"/>
      <c r="Z20" s="1817"/>
      <c r="AA20" s="1814">
        <v>1</v>
      </c>
      <c r="AB20" s="1814">
        <v>1</v>
      </c>
      <c r="AC20" s="1814">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4"/>
      <c r="Q22" s="1813"/>
      <c r="R22" s="774"/>
      <c r="S22" s="775"/>
      <c r="T22" s="774"/>
      <c r="U22" s="775"/>
      <c r="V22" s="774"/>
      <c r="W22" s="775"/>
      <c r="X22" s="1816"/>
      <c r="Y22" s="3196"/>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4"/>
      <c r="Q23" s="1813" t="str">
        <f>B23</f>
        <v>自然及人文环境</v>
      </c>
      <c r="R23" s="774" t="s">
        <v>17</v>
      </c>
      <c r="S23" s="775">
        <f>F23</f>
        <v>100</v>
      </c>
      <c r="T23" s="774" t="s">
        <v>17</v>
      </c>
      <c r="U23" s="775">
        <f>H23</f>
        <v>100</v>
      </c>
      <c r="V23" s="774" t="s">
        <v>17</v>
      </c>
      <c r="W23" s="775">
        <f>J23</f>
        <v>100</v>
      </c>
      <c r="X23" s="1816"/>
      <c r="Y23" s="319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4"/>
      <c r="Q24" s="1813"/>
      <c r="R24" s="774"/>
      <c r="S24" s="775"/>
      <c r="T24" s="774"/>
      <c r="U24" s="775"/>
      <c r="V24" s="774"/>
      <c r="W24" s="775"/>
      <c r="X24" s="1816"/>
      <c r="Y24" s="3196"/>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4"/>
      <c r="Q25" s="1813" t="str">
        <f t="shared" ref="Q25:Q46" si="11">B25</f>
        <v>临街状况</v>
      </c>
      <c r="R25" s="774" t="s">
        <v>17</v>
      </c>
      <c r="S25" s="775">
        <f>F25</f>
        <v>100</v>
      </c>
      <c r="T25" s="774" t="s">
        <v>17</v>
      </c>
      <c r="U25" s="775">
        <f>H25</f>
        <v>100</v>
      </c>
      <c r="V25" s="774" t="s">
        <v>17</v>
      </c>
      <c r="W25" s="775">
        <f>J25</f>
        <v>100</v>
      </c>
      <c r="X25" s="1816"/>
      <c r="Y25" s="3196"/>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4"/>
      <c r="Q26" s="1813" t="str">
        <f t="shared" si="11"/>
        <v>平面位置/可视性</v>
      </c>
      <c r="R26" s="774" t="s">
        <v>17</v>
      </c>
      <c r="S26" s="775">
        <f>F26</f>
        <v>100</v>
      </c>
      <c r="T26" s="774" t="s">
        <v>17</v>
      </c>
      <c r="U26" s="775">
        <f>H26</f>
        <v>100</v>
      </c>
      <c r="V26" s="774" t="s">
        <v>17</v>
      </c>
      <c r="W26" s="775">
        <f>J26</f>
        <v>100</v>
      </c>
      <c r="X26" s="1816"/>
      <c r="Y26" s="3196"/>
      <c r="Z26" s="1817" t="str">
        <f>Q26</f>
        <v>平面位置/可视性</v>
      </c>
      <c r="AA26" s="1814">
        <f t="shared" si="3"/>
        <v>1</v>
      </c>
      <c r="AB26" s="1814">
        <f t="shared" si="4"/>
        <v>1</v>
      </c>
      <c r="AC26" s="1814">
        <f t="shared" si="5"/>
        <v>1</v>
      </c>
    </row>
    <row r="27" spans="1:29" s="117" customFormat="1" ht="15">
      <c r="A27" s="431"/>
      <c r="B27" s="451" t="s">
        <v>2663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4"/>
      <c r="Q27" s="1798" t="str">
        <f t="shared" si="11"/>
        <v>人流量</v>
      </c>
      <c r="R27" s="770" t="s">
        <v>17</v>
      </c>
      <c r="S27" s="771">
        <f>F27</f>
        <v>100</v>
      </c>
      <c r="T27" s="770" t="s">
        <v>17</v>
      </c>
      <c r="U27" s="771">
        <f>H27</f>
        <v>100</v>
      </c>
      <c r="V27" s="770" t="s">
        <v>17</v>
      </c>
      <c r="W27" s="771">
        <f>J27</f>
        <v>100</v>
      </c>
      <c r="X27" s="772"/>
      <c r="Y27" s="3196"/>
      <c r="Z27" s="55" t="str">
        <f>Q27</f>
        <v>人流量</v>
      </c>
      <c r="AA27" s="1814">
        <f>D27/F27</f>
        <v>1</v>
      </c>
      <c r="AB27" s="1814">
        <f>D27/H27</f>
        <v>1</v>
      </c>
      <c r="AC27" s="1814">
        <f>D27/J27</f>
        <v>1</v>
      </c>
    </row>
    <row r="28" spans="1:29" ht="15.75" thickBot="1">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6"/>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4"/>
      <c r="Q29" s="1813">
        <f t="shared" si="11"/>
        <v>111</v>
      </c>
      <c r="R29" s="774" t="s">
        <v>17</v>
      </c>
      <c r="S29" s="775">
        <f t="shared" si="12"/>
        <v>100</v>
      </c>
      <c r="T29" s="774" t="s">
        <v>17</v>
      </c>
      <c r="U29" s="775">
        <f t="shared" si="13"/>
        <v>100</v>
      </c>
      <c r="V29" s="774" t="s">
        <v>17</v>
      </c>
      <c r="W29" s="775">
        <f t="shared" si="14"/>
        <v>100</v>
      </c>
      <c r="X29" s="1816"/>
      <c r="Y29" s="3196"/>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1814">
        <f t="shared" si="5"/>
        <v>1</v>
      </c>
    </row>
    <row r="32" spans="1:29" ht="15">
      <c r="A32" s="440" t="s">
        <v>2568</v>
      </c>
      <c r="B32" s="71" t="s">
        <v>2665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7" t="s">
        <v>2570</v>
      </c>
      <c r="Q32" s="1813" t="str">
        <f t="shared" si="11"/>
        <v>商业类型</v>
      </c>
      <c r="R32" s="774" t="s">
        <v>17</v>
      </c>
      <c r="S32" s="775">
        <f t="shared" si="12"/>
        <v>100</v>
      </c>
      <c r="T32" s="774" t="s">
        <v>17</v>
      </c>
      <c r="U32" s="775">
        <f t="shared" si="13"/>
        <v>100</v>
      </c>
      <c r="V32" s="774" t="s">
        <v>17</v>
      </c>
      <c r="W32" s="775">
        <f t="shared" si="14"/>
        <v>100</v>
      </c>
      <c r="X32" s="1816"/>
      <c r="Y32" s="3200"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198"/>
      <c r="Q33" s="776" t="str">
        <f t="shared" si="11"/>
        <v>项目建筑规模</v>
      </c>
      <c r="R33" s="777" t="s">
        <v>17</v>
      </c>
      <c r="S33" s="778">
        <f t="shared" si="12"/>
        <v>100</v>
      </c>
      <c r="T33" s="777" t="s">
        <v>17</v>
      </c>
      <c r="U33" s="778">
        <f t="shared" si="13"/>
        <v>100</v>
      </c>
      <c r="V33" s="777" t="s">
        <v>17</v>
      </c>
      <c r="W33" s="778">
        <f t="shared" si="14"/>
        <v>100</v>
      </c>
      <c r="X33" s="779"/>
      <c r="Y33" s="3200"/>
      <c r="Z33" s="780" t="str">
        <f t="shared" si="15"/>
        <v>项目建筑规模</v>
      </c>
      <c r="AA33" s="1814">
        <f t="shared" si="3"/>
        <v>1</v>
      </c>
      <c r="AB33" s="1814">
        <f t="shared" si="4"/>
        <v>1</v>
      </c>
      <c r="AC33" s="1814">
        <f t="shared" si="5"/>
        <v>1</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8"/>
      <c r="Q34" s="1813" t="str">
        <f t="shared" si="11"/>
        <v>建筑结构</v>
      </c>
      <c r="R34" s="774" t="s">
        <v>17</v>
      </c>
      <c r="S34" s="775">
        <f t="shared" si="12"/>
        <v>100</v>
      </c>
      <c r="T34" s="774" t="s">
        <v>17</v>
      </c>
      <c r="U34" s="775">
        <f t="shared" si="13"/>
        <v>100</v>
      </c>
      <c r="V34" s="774" t="s">
        <v>17</v>
      </c>
      <c r="W34" s="775">
        <f t="shared" si="14"/>
        <v>100</v>
      </c>
      <c r="X34" s="1816"/>
      <c r="Y34" s="3200"/>
      <c r="Z34" s="1817" t="str">
        <f t="shared" si="15"/>
        <v>建筑结构</v>
      </c>
      <c r="AA34" s="1814">
        <f t="shared" si="3"/>
        <v>1</v>
      </c>
      <c r="AB34" s="1814">
        <f t="shared" si="4"/>
        <v>1</v>
      </c>
      <c r="AC34" s="1814">
        <f t="shared" si="5"/>
        <v>1</v>
      </c>
    </row>
    <row r="35" spans="1:29" ht="15">
      <c r="A35" s="472"/>
      <c r="B35" s="422" t="s">
        <v>2666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8"/>
      <c r="Q35" s="1813" t="str">
        <f t="shared" si="11"/>
        <v>公共部分装修</v>
      </c>
      <c r="R35" s="774" t="s">
        <v>17</v>
      </c>
      <c r="S35" s="775">
        <f t="shared" si="12"/>
        <v>100</v>
      </c>
      <c r="T35" s="774" t="s">
        <v>17</v>
      </c>
      <c r="U35" s="775">
        <f t="shared" si="13"/>
        <v>100</v>
      </c>
      <c r="V35" s="774" t="s">
        <v>17</v>
      </c>
      <c r="W35" s="775">
        <f t="shared" si="14"/>
        <v>100</v>
      </c>
      <c r="X35" s="1816"/>
      <c r="Y35" s="3200"/>
      <c r="Z35" s="1817" t="str">
        <f t="shared" si="15"/>
        <v>公共部分装修</v>
      </c>
      <c r="AA35" s="1814">
        <f t="shared" si="3"/>
        <v>1</v>
      </c>
      <c r="AB35" s="1814">
        <f t="shared" si="4"/>
        <v>1</v>
      </c>
      <c r="AC35" s="1814">
        <f t="shared" si="5"/>
        <v>1</v>
      </c>
    </row>
    <row r="36" spans="1:29" ht="15">
      <c r="A36" s="472"/>
      <c r="B36" s="422" t="s">
        <v>2667</v>
      </c>
      <c r="C36" s="474">
        <v>0.87</v>
      </c>
      <c r="D36" s="435">
        <v>100</v>
      </c>
      <c r="E36" s="474">
        <v>0.87</v>
      </c>
      <c r="F36" s="461">
        <f>LOOKUP(E36,110:110,111:111)-LOOKUP(C36,110:110,111:111)+100</f>
        <v>100</v>
      </c>
      <c r="G36" s="474">
        <v>0.87</v>
      </c>
      <c r="H36" s="461">
        <f>LOOKUP(G36,110:110,111:111)-LOOKUP(C36,110:110,111:111)+100</f>
        <v>100</v>
      </c>
      <c r="I36" s="474">
        <v>0.87</v>
      </c>
      <c r="J36" s="435">
        <f>LOOKUP(I36,110:110,111:111)-LOOKUP(C36,110:110,111:111)+100</f>
        <v>100</v>
      </c>
      <c r="K36" s="612"/>
      <c r="L36" s="1143"/>
      <c r="M36" s="1134"/>
      <c r="N36" s="1134"/>
      <c r="O36" s="1134"/>
      <c r="P36" s="3198"/>
      <c r="Q36" s="1813" t="str">
        <f t="shared" si="11"/>
        <v>成新度</v>
      </c>
      <c r="R36" s="774" t="s">
        <v>17</v>
      </c>
      <c r="S36" s="775">
        <f t="shared" si="12"/>
        <v>100</v>
      </c>
      <c r="T36" s="774" t="s">
        <v>17</v>
      </c>
      <c r="U36" s="775">
        <f t="shared" si="13"/>
        <v>100</v>
      </c>
      <c r="V36" s="774" t="s">
        <v>17</v>
      </c>
      <c r="W36" s="775">
        <f t="shared" si="14"/>
        <v>100</v>
      </c>
      <c r="X36" s="1816"/>
      <c r="Y36" s="3200"/>
      <c r="Z36" s="1817" t="str">
        <f t="shared" si="15"/>
        <v>成新度</v>
      </c>
      <c r="AA36" s="1814">
        <f t="shared" si="3"/>
        <v>1</v>
      </c>
      <c r="AB36" s="1814">
        <f t="shared" si="4"/>
        <v>1</v>
      </c>
      <c r="AC36" s="1814">
        <f t="shared" si="5"/>
        <v>1</v>
      </c>
    </row>
    <row r="37" spans="1:29" s="117" customFormat="1" ht="15">
      <c r="A37" s="473"/>
      <c r="B37" s="422" t="s">
        <v>2668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8"/>
      <c r="Q37" s="1798"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8" t="s">
        <v>2570</v>
      </c>
      <c r="Q38" s="1813" t="str">
        <f t="shared" si="11"/>
        <v>业态</v>
      </c>
      <c r="R38" s="774" t="s">
        <v>17</v>
      </c>
      <c r="S38" s="775">
        <f t="shared" si="12"/>
        <v>100</v>
      </c>
      <c r="T38" s="774" t="s">
        <v>17</v>
      </c>
      <c r="U38" s="775">
        <f t="shared" si="13"/>
        <v>100</v>
      </c>
      <c r="V38" s="774" t="s">
        <v>17</v>
      </c>
      <c r="W38" s="775">
        <f t="shared" si="14"/>
        <v>100</v>
      </c>
      <c r="X38" s="1816"/>
      <c r="Y38" s="3200" t="s">
        <v>2570</v>
      </c>
      <c r="Z38" s="1817" t="str">
        <f t="shared" si="15"/>
        <v>业态</v>
      </c>
      <c r="AA38" s="1814">
        <f t="shared" si="3"/>
        <v>1</v>
      </c>
      <c r="AB38" s="1814">
        <f t="shared" si="4"/>
        <v>1</v>
      </c>
      <c r="AC38" s="1814">
        <f t="shared" si="5"/>
        <v>1</v>
      </c>
    </row>
    <row r="39" spans="1:29" ht="15">
      <c r="A39" s="472"/>
      <c r="B39" s="422" t="s">
        <v>2670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8"/>
      <c r="Q39" s="1813" t="str">
        <f t="shared" si="11"/>
        <v>层高</v>
      </c>
      <c r="R39" s="774" t="s">
        <v>17</v>
      </c>
      <c r="S39" s="775">
        <f t="shared" si="12"/>
        <v>100</v>
      </c>
      <c r="T39" s="774" t="s">
        <v>17</v>
      </c>
      <c r="U39" s="775">
        <f t="shared" si="13"/>
        <v>100</v>
      </c>
      <c r="V39" s="774" t="s">
        <v>17</v>
      </c>
      <c r="W39" s="775">
        <f t="shared" si="14"/>
        <v>100</v>
      </c>
      <c r="X39" s="1816"/>
      <c r="Y39" s="3200"/>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8"/>
      <c r="Q40" s="1813" t="str">
        <f t="shared" si="11"/>
        <v>单套建筑面积</v>
      </c>
      <c r="R40" s="774" t="s">
        <v>17</v>
      </c>
      <c r="S40" s="775">
        <f t="shared" si="12"/>
        <v>100</v>
      </c>
      <c r="T40" s="774" t="s">
        <v>17</v>
      </c>
      <c r="U40" s="775">
        <f t="shared" si="13"/>
        <v>100</v>
      </c>
      <c r="V40" s="774" t="s">
        <v>17</v>
      </c>
      <c r="W40" s="775">
        <f t="shared" si="14"/>
        <v>100</v>
      </c>
      <c r="X40" s="1816"/>
      <c r="Y40" s="3200"/>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8"/>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4">
        <f t="shared" si="3"/>
        <v>1</v>
      </c>
      <c r="AB41" s="1814">
        <f t="shared" si="4"/>
        <v>1</v>
      </c>
      <c r="AC41" s="1814">
        <f t="shared" si="5"/>
        <v>1</v>
      </c>
    </row>
    <row r="42" spans="1:29" ht="15">
      <c r="A42" s="472"/>
      <c r="B42" s="422" t="s">
        <v>2673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8"/>
      <c r="Q42" s="1813" t="str">
        <f t="shared" si="11"/>
        <v>内部装修</v>
      </c>
      <c r="R42" s="774" t="s">
        <v>17</v>
      </c>
      <c r="S42" s="775">
        <f t="shared" si="12"/>
        <v>100</v>
      </c>
      <c r="T42" s="774" t="s">
        <v>17</v>
      </c>
      <c r="U42" s="775">
        <f t="shared" si="13"/>
        <v>100</v>
      </c>
      <c r="V42" s="774" t="s">
        <v>17</v>
      </c>
      <c r="W42" s="775">
        <f t="shared" si="14"/>
        <v>100</v>
      </c>
      <c r="X42" s="1816"/>
      <c r="Y42" s="3200"/>
      <c r="Z42" s="1817" t="str">
        <f t="shared" si="15"/>
        <v>内部装修</v>
      </c>
      <c r="AA42" s="1814">
        <f t="shared" si="3"/>
        <v>1</v>
      </c>
      <c r="AB42" s="1814">
        <f t="shared" si="4"/>
        <v>1</v>
      </c>
      <c r="AC42" s="1814">
        <f t="shared" si="5"/>
        <v>1</v>
      </c>
    </row>
    <row r="43" spans="1:29" ht="15.75" thickBot="1">
      <c r="A43" s="472"/>
      <c r="B43" s="422" t="s">
        <v>2581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8"/>
      <c r="Q43" s="1813" t="str">
        <f t="shared" si="11"/>
        <v>内部装修维护情况</v>
      </c>
      <c r="R43" s="774" t="s">
        <v>17</v>
      </c>
      <c r="S43" s="775">
        <f t="shared" si="12"/>
        <v>100</v>
      </c>
      <c r="T43" s="774" t="s">
        <v>17</v>
      </c>
      <c r="U43" s="775">
        <f t="shared" si="13"/>
        <v>100</v>
      </c>
      <c r="V43" s="774" t="s">
        <v>17</v>
      </c>
      <c r="W43" s="775">
        <f t="shared" si="14"/>
        <v>100</v>
      </c>
      <c r="X43" s="1816"/>
      <c r="Y43" s="3200"/>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8"/>
      <c r="Q44" s="1798">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8"/>
      <c r="Q45" s="1813">
        <f t="shared" si="11"/>
        <v>111</v>
      </c>
      <c r="R45" s="774" t="s">
        <v>17</v>
      </c>
      <c r="S45" s="775">
        <f t="shared" si="12"/>
        <v>100</v>
      </c>
      <c r="T45" s="774" t="s">
        <v>17</v>
      </c>
      <c r="U45" s="775">
        <f t="shared" si="13"/>
        <v>100</v>
      </c>
      <c r="V45" s="774" t="s">
        <v>17</v>
      </c>
      <c r="W45" s="775">
        <f t="shared" si="14"/>
        <v>100</v>
      </c>
      <c r="X45" s="1816"/>
      <c r="Y45" s="3200"/>
      <c r="Z45" s="1817">
        <f t="shared" si="15"/>
        <v>111</v>
      </c>
      <c r="AA45" s="1814">
        <f t="shared" si="3"/>
        <v>1</v>
      </c>
      <c r="AB45" s="1814">
        <f t="shared" si="4"/>
        <v>1</v>
      </c>
      <c r="AC45" s="1814">
        <f t="shared" si="5"/>
        <v>1</v>
      </c>
    </row>
    <row r="46" spans="1:29" ht="15.75" hidden="1"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1814">
        <f t="shared" si="5"/>
        <v>1</v>
      </c>
    </row>
    <row r="47" spans="1:29" ht="15">
      <c r="A47" s="479" t="s">
        <v>2582</v>
      </c>
      <c r="B47" s="480"/>
      <c r="C47" s="1410" t="s">
        <v>1</v>
      </c>
      <c r="D47" s="1411"/>
      <c r="E47" s="1412">
        <v>18000</v>
      </c>
      <c r="F47" s="1413"/>
      <c r="G47" s="1414">
        <v>17000</v>
      </c>
      <c r="H47" s="1415"/>
      <c r="I47" s="1412">
        <v>18000</v>
      </c>
      <c r="J47" s="1415"/>
      <c r="K47" s="783"/>
      <c r="L47" s="1146"/>
      <c r="M47" s="1147"/>
      <c r="N47" s="1134"/>
      <c r="O47" s="1147"/>
      <c r="P47" s="3188" t="str">
        <f>A47</f>
        <v>成交单价（元/平方米）</v>
      </c>
      <c r="Q47" s="3188"/>
      <c r="R47" s="3202">
        <f>E47</f>
        <v>18000</v>
      </c>
      <c r="S47" s="3202"/>
      <c r="T47" s="3202">
        <f>G47</f>
        <v>17000</v>
      </c>
      <c r="U47" s="3202"/>
      <c r="V47" s="3202">
        <f>I47</f>
        <v>18000</v>
      </c>
      <c r="W47" s="3202"/>
      <c r="X47" s="759"/>
      <c r="Y47" s="781"/>
      <c r="Z47" s="759"/>
      <c r="AA47" s="759"/>
      <c r="AB47" s="759"/>
      <c r="AC47" s="759"/>
    </row>
    <row r="48" spans="1:29" ht="15.75" thickBot="1">
      <c r="A48" s="486" t="s">
        <v>2674</v>
      </c>
      <c r="B48" s="487"/>
      <c r="C48" s="1416">
        <f>R49</f>
        <v>17666.7</v>
      </c>
      <c r="D48" s="1417"/>
      <c r="E48" s="1418">
        <f>R48</f>
        <v>18000</v>
      </c>
      <c r="F48" s="1418"/>
      <c r="G48" s="1416">
        <f>T48</f>
        <v>17000</v>
      </c>
      <c r="H48" s="1417"/>
      <c r="I48" s="1418">
        <f>V48</f>
        <v>18000</v>
      </c>
      <c r="J48" s="1417"/>
      <c r="K48" s="784"/>
      <c r="L48" s="1146"/>
      <c r="M48" s="1147"/>
      <c r="N48" s="1134"/>
      <c r="O48" s="1147"/>
      <c r="P48" s="3188" t="str">
        <f>A48</f>
        <v>比较价值（元/平方米）</v>
      </c>
      <c r="Q48" s="3188"/>
      <c r="R48" s="3189">
        <f>IF(F1="售价",ROUND(PRODUCT(R47,AA7:AA46),0),ROUND(PRODUCT(R47,AA7:AA46),1))</f>
        <v>18000</v>
      </c>
      <c r="S48" s="3189"/>
      <c r="T48" s="3189">
        <f>IF(F1="售价",ROUND(PRODUCT(T47,AB7:AB46),0),ROUND(PRODUCT(T47,AB7:AB46),1))</f>
        <v>17000</v>
      </c>
      <c r="U48" s="3189"/>
      <c r="V48" s="3189">
        <f>IF(F1="售价",ROUND(PRODUCT(V47,AC7:AC46),0),ROUND(PRODUCT(V47,AC7:AC46),1))</f>
        <v>18000</v>
      </c>
      <c r="W48" s="3189"/>
      <c r="X48" s="759"/>
      <c r="Y48" s="759"/>
      <c r="Z48" s="759"/>
      <c r="AA48" s="759"/>
      <c r="AB48" s="759"/>
      <c r="AC48" s="759"/>
    </row>
    <row r="49" spans="1:29" ht="15.75" thickBot="1">
      <c r="A49" s="492" t="s">
        <v>2675</v>
      </c>
      <c r="B49" s="493"/>
      <c r="C49" s="1420">
        <f>R49</f>
        <v>17666.7</v>
      </c>
      <c r="D49" s="1420"/>
      <c r="E49" s="1420"/>
      <c r="F49" s="1420"/>
      <c r="G49" s="1420"/>
      <c r="H49" s="1420"/>
      <c r="I49" s="1420"/>
      <c r="J49" s="1420"/>
      <c r="K49" s="785"/>
      <c r="L49" s="1146"/>
      <c r="M49" s="1147"/>
      <c r="N49" s="1134"/>
      <c r="O49" s="1147"/>
      <c r="P49" s="3190" t="str">
        <f>A49</f>
        <v>估价对象XX用房的比较价值（楼面单价，元/平方米）</v>
      </c>
      <c r="Q49" s="3191"/>
      <c r="R49" s="3192">
        <f>IF(F1="售价",ROUND(AVERAGE(R48:V48),0),ROUND(AVERAGE(R48:V48),1))</f>
        <v>17666.7</v>
      </c>
      <c r="S49" s="3192"/>
      <c r="T49" s="3192"/>
      <c r="U49" s="3192"/>
      <c r="V49" s="3192"/>
      <c r="W49" s="319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f>IF(E48&lt;G48,G48/E48-1,E48/G48-1)</f>
        <v>5.8823529411764719E-2</v>
      </c>
      <c r="F53" s="500" t="str">
        <f>IF(OR(E53&gt;=0.2,E53&lt;=-0.2),"超过20%","")</f>
        <v/>
      </c>
      <c r="G53" s="499">
        <f>IF(G48&lt;I48,I48/G48-1,G48/I48-1)</f>
        <v>5.8823529411764719E-2</v>
      </c>
      <c r="H53" s="500" t="str">
        <f>IF(OR(G53&gt;=0.2,G53&lt;=-0.2),"超过20%","")</f>
        <v/>
      </c>
      <c r="I53" s="499">
        <f>IF(I48&lt;E48,E48/I48-1,I48/E48-1)</f>
        <v>0</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f>IF(E47&lt;G47,G47/E47-1,E47/G47-1)</f>
        <v>5.8823529411764719E-2</v>
      </c>
      <c r="F54" s="500" t="str">
        <f>IF(OR(E54&gt;=0.3,E54&lt;=-0.3),"超过30%","")</f>
        <v/>
      </c>
      <c r="G54" s="499">
        <f>IF(G47&lt;I47,I47/G47-1,G47/I47-1)</f>
        <v>5.8823529411764719E-2</v>
      </c>
      <c r="H54" s="500" t="str">
        <f>IF(OR(G54&gt;=0.3,G54&lt;=-0.3),"超过30%","")</f>
        <v/>
      </c>
      <c r="I54" s="499">
        <f>IF(I47&lt;E47,E47/I47-1,I47/E47-1)</f>
        <v>0</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2618</v>
      </c>
      <c r="C102" s="578" t="str">
        <f>C103&amp;"(含)"&amp;"-"&amp;D103</f>
        <v>0(含)-100</v>
      </c>
      <c r="D102" s="578" t="str">
        <f t="shared" ref="D102:L102" si="23">D103&amp;"(含)"&amp;"-"&amp;E103</f>
        <v>100(含)-300</v>
      </c>
      <c r="E102" s="578" t="str">
        <f t="shared" si="23"/>
        <v>300(含)-600</v>
      </c>
      <c r="F102" s="578" t="str">
        <f t="shared" si="23"/>
        <v>600(含)-900</v>
      </c>
      <c r="G102" s="578" t="str">
        <f t="shared" si="23"/>
        <v>900(含)-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100</v>
      </c>
      <c r="E103" s="595">
        <v>300</v>
      </c>
      <c r="F103" s="595">
        <v>600</v>
      </c>
      <c r="G103" s="595">
        <v>900</v>
      </c>
      <c r="H103" s="595"/>
      <c r="I103" s="595"/>
      <c r="J103" s="596"/>
      <c r="K103" s="596"/>
      <c r="L103" s="597"/>
      <c r="M103" s="598"/>
      <c r="N103" s="1157"/>
      <c r="O103" s="1157"/>
      <c r="P103" s="2637"/>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7" sqref="I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3898</v>
      </c>
      <c r="D1" s="1823" t="s">
        <v>70</v>
      </c>
      <c r="E1" s="1824" t="s">
        <v>1387</v>
      </c>
      <c r="F1" s="1286">
        <f ca="1">J53</f>
        <v>30.07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198</v>
      </c>
      <c r="C2" s="1848" t="s">
        <v>1516</v>
      </c>
      <c r="D2" s="1848"/>
      <c r="E2" s="1849"/>
      <c r="F2" s="1850"/>
      <c r="G2" s="1851"/>
      <c r="H2" s="1843"/>
      <c r="I2" s="1843"/>
      <c r="J2" s="1843"/>
      <c r="K2" s="1844"/>
      <c r="L2" s="1843"/>
      <c r="M2" s="1843"/>
    </row>
    <row r="3" spans="1:37" ht="18" customHeight="1" thickBot="1">
      <c r="A3" s="1852" t="s">
        <v>1517</v>
      </c>
      <c r="B3" s="1853">
        <f ca="1">IF(ISERROR(B2*10000/F43),0,ROUND(B2*10000/F43,0))</f>
        <v>15646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v>
      </c>
      <c r="D5" s="1825" t="s">
        <v>1402</v>
      </c>
      <c r="E5" s="1296"/>
      <c r="F5" s="1297"/>
      <c r="G5" s="1854"/>
      <c r="H5" s="344">
        <v>1</v>
      </c>
      <c r="I5" s="345" t="s">
        <v>1401</v>
      </c>
      <c r="J5" s="1295">
        <f ca="1">J6+J10+J12</f>
        <v>0</v>
      </c>
      <c r="K5" s="1825" t="s">
        <v>1402</v>
      </c>
      <c r="L5" s="1296"/>
      <c r="M5" s="1297"/>
    </row>
    <row r="6" spans="1:37" ht="18" customHeight="1">
      <c r="A6" s="1294" t="s">
        <v>1035</v>
      </c>
      <c r="B6" s="3236" t="s">
        <v>1403</v>
      </c>
      <c r="C6" s="1299">
        <f ca="1">ROUND(F6*F8*F7*(1-F9)/10000,0)</f>
        <v>12</v>
      </c>
      <c r="D6" s="164" t="s">
        <v>3038</v>
      </c>
      <c r="E6" s="347" t="s">
        <v>1405</v>
      </c>
      <c r="F6" s="348">
        <f ca="1">INDIRECT("'数据-取费表'!u"&amp;$G$1)</f>
        <v>3</v>
      </c>
      <c r="G6" s="1854"/>
      <c r="H6" s="1294" t="s">
        <v>1035</v>
      </c>
      <c r="I6" s="3236" t="s">
        <v>1403</v>
      </c>
      <c r="J6" s="346">
        <f ca="1">ROUND(M6*M8*M7*(1-M9)/10000,0)</f>
        <v>0</v>
      </c>
      <c r="K6" s="164" t="s">
        <v>3037</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126.55</v>
      </c>
      <c r="G7" s="1854"/>
      <c r="H7" s="349"/>
      <c r="I7" s="3237"/>
      <c r="J7" s="351"/>
      <c r="K7" s="352"/>
      <c r="L7" s="347" t="s">
        <v>1406</v>
      </c>
      <c r="M7" s="348">
        <f ca="1">F7</f>
        <v>126.55</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0.15</v>
      </c>
      <c r="G9" s="1854"/>
      <c r="H9" s="349"/>
      <c r="I9" s="323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t="s">
        <v>3905</v>
      </c>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44</v>
      </c>
      <c r="D13" s="1334" t="s">
        <v>1415</v>
      </c>
      <c r="E13" s="1334" t="s">
        <v>1416</v>
      </c>
      <c r="F13" s="1335">
        <f ca="1">INDIRECT("'数据-取费表'!y"&amp;$G$1)</f>
        <v>0.87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33</v>
      </c>
      <c r="D14" s="1803" t="s">
        <v>1418</v>
      </c>
      <c r="E14" s="1797"/>
      <c r="F14" s="364"/>
      <c r="G14" s="1854"/>
      <c r="H14" s="1204" t="s">
        <v>1035</v>
      </c>
      <c r="I14" s="347" t="s">
        <v>1419</v>
      </c>
      <c r="J14" s="24">
        <f ca="1">C29</f>
        <v>50</v>
      </c>
      <c r="K14" s="15"/>
      <c r="L14" s="982"/>
      <c r="M14" s="983"/>
    </row>
    <row r="15" spans="1:37" s="1861" customFormat="1" ht="18" customHeight="1" thickBot="1">
      <c r="A15" s="1204" t="s">
        <v>1036</v>
      </c>
      <c r="B15" s="347" t="s">
        <v>1420</v>
      </c>
      <c r="C15" s="24">
        <f ca="1">ROUND(C14*F15,0)</f>
        <v>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v>
      </c>
      <c r="K16" s="1340" t="s">
        <v>1425</v>
      </c>
      <c r="L16" s="1341"/>
      <c r="M16" s="1297"/>
    </row>
    <row r="17" spans="1:37" s="1861" customFormat="1" ht="18" customHeight="1">
      <c r="A17" s="1204" t="s">
        <v>1390</v>
      </c>
      <c r="B17" s="347" t="s">
        <v>1426</v>
      </c>
      <c r="C17" s="24">
        <f ca="1">ROUND(F17*(F43+INDIRECT("'数据-取费表'!S"&amp;$G$1))/10000,0)</f>
        <v>3</v>
      </c>
      <c r="D17" s="347" t="s">
        <v>1427</v>
      </c>
      <c r="E17" s="347" t="s">
        <v>1428</v>
      </c>
      <c r="F17" s="26">
        <f>'数据-取费表'!B35</f>
        <v>200</v>
      </c>
      <c r="G17" s="1857"/>
      <c r="H17" s="1204" t="s">
        <v>1035</v>
      </c>
      <c r="I17" s="347" t="s">
        <v>1429</v>
      </c>
      <c r="J17" s="24">
        <f ca="1">ROUND(IF(项目基本情况!B11="自然人",J5*M17,J18+J19+J20),1)</f>
        <v>0.4</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37</v>
      </c>
      <c r="D19" s="140" t="s">
        <v>1436</v>
      </c>
      <c r="E19" s="1821"/>
      <c r="F19" s="26"/>
      <c r="G19" s="1854"/>
      <c r="H19" s="1204" t="s">
        <v>1036</v>
      </c>
      <c r="I19" s="347" t="s">
        <v>1437</v>
      </c>
      <c r="J19" s="24">
        <f ca="1">IF(K19="按租金收入计税",ROUND(J5*M19,2),ROUND(C29*M19*0.7,2))</f>
        <v>0.42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v>
      </c>
      <c r="D20" s="369" t="s">
        <v>1440</v>
      </c>
      <c r="E20" s="347" t="s">
        <v>1422</v>
      </c>
      <c r="F20" s="367">
        <f>'数据-取费表'!B37</f>
        <v>0.02</v>
      </c>
      <c r="G20" s="1857"/>
      <c r="H20" s="1204" t="s">
        <v>1389</v>
      </c>
      <c r="I20" s="164" t="s">
        <v>1441</v>
      </c>
      <c r="J20" s="25">
        <f ca="1">ROUND(M20*M21/10000,2)</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v>
      </c>
      <c r="K25" s="1348" t="s">
        <v>1464</v>
      </c>
      <c r="L25" s="1349"/>
      <c r="M25" s="1350"/>
    </row>
    <row r="26" spans="1:37">
      <c r="A26" s="1204" t="s">
        <v>1034</v>
      </c>
      <c r="B26" s="347" t="s">
        <v>1465</v>
      </c>
      <c r="C26" s="24">
        <f ca="1">ROUND((C19+C20)*F26,0)</f>
        <v>6</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50</v>
      </c>
      <c r="D29" s="1345"/>
      <c r="E29" s="1343"/>
      <c r="F29" s="1346"/>
      <c r="G29" s="1857"/>
      <c r="H29" s="380" t="s">
        <v>1033</v>
      </c>
      <c r="I29" s="381" t="s">
        <v>1479</v>
      </c>
      <c r="J29" s="382">
        <f ca="1">ROUND(J26/(1+F40)^F41,0)</f>
        <v>0</v>
      </c>
      <c r="K29" s="383" t="s">
        <v>1480</v>
      </c>
      <c r="L29" s="384"/>
      <c r="M29" s="385">
        <f ca="1">INDIRECT("'数据-取费表'!k"&amp;$G$1)</f>
        <v>126.55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IF(项目基本情况!B11="自然人","——",ROUND(C5*F32/(1+'数据-取费表'!C42),2))</f>
        <v>0.64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1.44</v>
      </c>
      <c r="D33" s="1831" t="s">
        <v>3906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0.1</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197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30.07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15567</v>
      </c>
      <c r="D43" s="383" t="s">
        <v>1488</v>
      </c>
      <c r="E43" s="384" t="s">
        <v>1489</v>
      </c>
      <c r="F43" s="385">
        <f ca="1">INDIRECT("'数据-取费表'!k"&amp;$G$1)</f>
        <v>126.55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-270</v>
      </c>
      <c r="D46" s="1875" t="str">
        <f>C2</f>
        <v>万元</v>
      </c>
      <c r="E46" s="1869"/>
      <c r="F46" s="1869"/>
      <c r="I46" s="1876" t="s">
        <v>1521</v>
      </c>
      <c r="J46" s="1877"/>
      <c r="K46" s="1878"/>
      <c r="L46" s="1879">
        <f ca="1">IF(M47="住宅",0,IF(L48&gt;J51,L60,J60))</f>
        <v>1</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3903</v>
      </c>
      <c r="K47" s="1885" t="s">
        <v>1527</v>
      </c>
      <c r="L47" s="1886">
        <f ca="1">INDIRECT("'数据-取费表'!d"&amp;$G$1)</f>
        <v>40</v>
      </c>
      <c r="M47" s="1841" t="str">
        <f>IF(ISNUMBER(FIND("住宅",C1)),"住宅","非住宅")</f>
        <v>非住宅</v>
      </c>
      <c r="O47" s="1887" t="s">
        <v>1040</v>
      </c>
      <c r="P47" s="1888" t="s">
        <v>1528</v>
      </c>
      <c r="Q47" s="1889">
        <f ca="1">C40+J29</f>
        <v>197</v>
      </c>
      <c r="R47" s="1889" t="s">
        <v>1529</v>
      </c>
    </row>
    <row r="48" spans="1:18" s="1845" customFormat="1" ht="28.5" thickBot="1">
      <c r="A48" s="1363" t="s">
        <v>1135</v>
      </c>
      <c r="B48" s="345" t="s">
        <v>1401</v>
      </c>
      <c r="C48" s="1820">
        <f ca="1">C49+C53+C55</f>
        <v>0</v>
      </c>
      <c r="D48" s="1365"/>
      <c r="E48" s="1366"/>
      <c r="F48" s="1184"/>
      <c r="G48" s="792"/>
      <c r="H48" s="793"/>
      <c r="I48" s="1890" t="s">
        <v>1530</v>
      </c>
      <c r="J48" s="1891" t="s">
        <v>3904</v>
      </c>
      <c r="K48" s="1892" t="s">
        <v>1531</v>
      </c>
      <c r="L48" s="1893">
        <f ca="1">INDIRECT("'数据-取费表'!f"&amp;$G$1)</f>
        <v>30.07</v>
      </c>
      <c r="O48" s="1887" t="s">
        <v>1041</v>
      </c>
      <c r="P48" s="1888" t="s">
        <v>1532</v>
      </c>
      <c r="Q48" s="1889">
        <f ca="1">J60</f>
        <v>1</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2010</v>
      </c>
      <c r="K49" s="1892" t="s">
        <v>1535</v>
      </c>
      <c r="L49" s="1896"/>
      <c r="O49" s="1897" t="s">
        <v>1042</v>
      </c>
      <c r="P49" s="1888" t="s">
        <v>1536</v>
      </c>
      <c r="Q49" s="1889">
        <f ca="1">C29</f>
        <v>50</v>
      </c>
      <c r="R49" s="1889" t="s">
        <v>1529</v>
      </c>
    </row>
    <row r="50" spans="1:18" s="1845" customFormat="1" ht="13.5" thickBot="1">
      <c r="A50" s="1198"/>
      <c r="B50" s="1201"/>
      <c r="C50" s="1371"/>
      <c r="D50" s="1175"/>
      <c r="E50" s="1280" t="s">
        <v>1406</v>
      </c>
      <c r="F50" s="1281">
        <f ca="1">F7</f>
        <v>126.55</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81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30.07</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30.07</v>
      </c>
      <c r="K53" s="3234" t="s">
        <v>1548</v>
      </c>
      <c r="L53" s="3235"/>
      <c r="O53" s="1887" t="s">
        <v>1046</v>
      </c>
      <c r="P53" s="1888" t="s">
        <v>1549</v>
      </c>
      <c r="Q53" s="1889">
        <f ca="1">Q47+Q48</f>
        <v>198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0.36599999999999999</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44</v>
      </c>
      <c r="D56" s="1917"/>
      <c r="E56" s="1918"/>
      <c r="F56" s="1910"/>
      <c r="I56" s="1919" t="s">
        <v>1554</v>
      </c>
      <c r="J56" s="1920"/>
      <c r="K56" s="1890" t="s">
        <v>1555</v>
      </c>
      <c r="L56" s="1893" t="str">
        <f ca="1">IF(L48&lt;J51,"——",L48-J53)</f>
        <v>——</v>
      </c>
      <c r="O56" s="1887" t="s">
        <v>1040</v>
      </c>
      <c r="P56" s="1888" t="s">
        <v>1528</v>
      </c>
      <c r="Q56" s="1889">
        <f ca="1">C40+J29</f>
        <v>197</v>
      </c>
      <c r="R56" s="1889" t="s">
        <v>1529</v>
      </c>
    </row>
    <row r="57" spans="1:18" s="1845" customFormat="1" ht="24.75" thickBot="1">
      <c r="A57" s="1921"/>
      <c r="B57" s="1172" t="s">
        <v>1478</v>
      </c>
      <c r="C57" s="282">
        <f ca="1">C29</f>
        <v>50</v>
      </c>
      <c r="D57" s="1922"/>
      <c r="E57" s="1923"/>
      <c r="F57" s="1924"/>
      <c r="I57" s="1925" t="s">
        <v>1556</v>
      </c>
      <c r="J57" s="1926">
        <f ca="1">IF(OR(M47="住宅",J51&lt;L48,J56="是"),"——",J51-L48)</f>
        <v>21.93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4.2</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20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10</v>
      </c>
      <c r="I62" s="1932" t="s">
        <v>1570</v>
      </c>
      <c r="J62" s="1933" t="s">
        <v>1571</v>
      </c>
      <c r="K62" s="1933" t="s">
        <v>1572</v>
      </c>
      <c r="L62" s="1933" t="s">
        <v>1573</v>
      </c>
      <c r="M62" s="1934" t="s">
        <v>1574</v>
      </c>
      <c r="O62" s="1887" t="s">
        <v>1046</v>
      </c>
      <c r="P62" s="1888" t="s">
        <v>1575</v>
      </c>
      <c r="Q62" s="1889">
        <f ca="1">Q56+Q57</f>
        <v>197</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0.1</v>
      </c>
      <c r="D65" s="1186" t="s">
        <v>1454</v>
      </c>
      <c r="E65" s="1172" t="s">
        <v>1455</v>
      </c>
      <c r="F65" s="376">
        <f t="shared" ca="1" si="0"/>
        <v>1.5E-3</v>
      </c>
      <c r="I65" s="1932" t="s">
        <v>1579</v>
      </c>
      <c r="J65" s="1933">
        <v>40</v>
      </c>
      <c r="K65" s="1933">
        <v>30</v>
      </c>
      <c r="L65" s="1933">
        <v>50</v>
      </c>
      <c r="M65" s="1935">
        <v>0.02</v>
      </c>
      <c r="O65" s="1887" t="s">
        <v>1040</v>
      </c>
      <c r="P65" s="1888" t="s">
        <v>1580</v>
      </c>
      <c r="Q65" s="1889">
        <f ca="1">C40+J29</f>
        <v>197</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v>
      </c>
      <c r="D67" s="1185" t="s">
        <v>1464</v>
      </c>
      <c r="E67" s="1190"/>
      <c r="F67" s="1191"/>
      <c r="O67" s="1897" t="s">
        <v>1042</v>
      </c>
      <c r="P67" s="1888" t="s">
        <v>1562</v>
      </c>
      <c r="Q67" s="1936">
        <f ca="1">L51</f>
        <v>81</v>
      </c>
      <c r="R67" s="1889" t="s">
        <v>1582</v>
      </c>
    </row>
    <row r="68" spans="1:18" s="1845" customFormat="1" ht="16.5" thickBot="1">
      <c r="A68" s="1169" t="s">
        <v>1032</v>
      </c>
      <c r="B68" s="1170" t="s">
        <v>1485</v>
      </c>
      <c r="C68" s="346">
        <f ca="1">ROUND(C67*(1-((1+F70)/(1+F68))^F69)/(F68-F70),0)</f>
        <v>-73</v>
      </c>
      <c r="D68" s="1187" t="s">
        <v>1469</v>
      </c>
      <c r="E68" s="1172" t="s">
        <v>1470</v>
      </c>
      <c r="F68" s="357">
        <f ca="1">F40</f>
        <v>5.5E-2</v>
      </c>
      <c r="O68" s="1897" t="s">
        <v>1043</v>
      </c>
      <c r="P68" s="1937" t="s">
        <v>1583</v>
      </c>
      <c r="Q68" s="1889">
        <f ca="1">ROUND(Q69-Q70*Q71,0)</f>
        <v>5</v>
      </c>
      <c r="R68" s="1889" t="s">
        <v>1051</v>
      </c>
    </row>
    <row r="69" spans="1:18" s="1845" customFormat="1" ht="13.5" thickBot="1">
      <c r="A69" s="1173"/>
      <c r="B69" s="1174"/>
      <c r="C69" s="351"/>
      <c r="D69" s="1192" t="s">
        <v>1473</v>
      </c>
      <c r="E69" s="1172" t="s">
        <v>1474</v>
      </c>
      <c r="F69" s="379">
        <f ca="1">F41</f>
        <v>30.07</v>
      </c>
      <c r="O69" s="1897" t="s">
        <v>1048</v>
      </c>
      <c r="P69" s="1937" t="s">
        <v>1584</v>
      </c>
      <c r="Q69" s="1889">
        <f ca="1">C39</f>
        <v>9</v>
      </c>
      <c r="R69" s="1889" t="s">
        <v>1529</v>
      </c>
    </row>
    <row r="70" spans="1:18" s="1845" customFormat="1" ht="13.5" thickBot="1">
      <c r="A70" s="1176"/>
      <c r="B70" s="1177"/>
      <c r="C70" s="355"/>
      <c r="D70" s="1188"/>
      <c r="E70" s="1172" t="s">
        <v>1477</v>
      </c>
      <c r="F70" s="1278"/>
      <c r="O70" s="1897" t="s">
        <v>1049</v>
      </c>
      <c r="P70" s="1937" t="s">
        <v>1585</v>
      </c>
      <c r="Q70" s="1889">
        <f ca="1">C13</f>
        <v>44</v>
      </c>
      <c r="R70" s="1889" t="s">
        <v>1529</v>
      </c>
    </row>
    <row r="71" spans="1:18" s="1845" customFormat="1" ht="13.5" thickBot="1">
      <c r="A71" s="1193" t="s">
        <v>1033</v>
      </c>
      <c r="B71" s="1194" t="s">
        <v>1487</v>
      </c>
      <c r="C71" s="382">
        <f ca="1">ROUND(C68*10000/F71,0)</f>
        <v>-5768</v>
      </c>
      <c r="D71" s="1195" t="s">
        <v>1488</v>
      </c>
      <c r="E71" s="1196" t="s">
        <v>1489</v>
      </c>
      <c r="F71" s="385">
        <f ca="1">F43</f>
        <v>126.55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v>
      </c>
      <c r="D75" s="1845"/>
      <c r="E75" s="1845"/>
      <c r="F75" s="1845"/>
      <c r="K75" s="1871"/>
      <c r="L75" s="1845"/>
      <c r="O75" s="1887" t="s">
        <v>1046</v>
      </c>
      <c r="P75" s="1888" t="s">
        <v>1549</v>
      </c>
      <c r="Q75" s="1889">
        <f ca="1">Q65+Q66</f>
        <v>197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0.55600000000000005</v>
      </c>
    </row>
    <row r="80" spans="1:18">
      <c r="B80" s="386" t="s">
        <v>1511</v>
      </c>
      <c r="C80" s="318">
        <f ca="1">ROUND(C75/C39,3)</f>
        <v>0.44400000000000001</v>
      </c>
    </row>
    <row r="81" spans="2:3">
      <c r="B81" s="314" t="s">
        <v>1512</v>
      </c>
      <c r="C81" s="282"/>
    </row>
    <row r="82" spans="2:3">
      <c r="B82" s="317" t="s">
        <v>1513</v>
      </c>
      <c r="C82" s="319">
        <f ca="1">1-C83</f>
        <v>0.77700000000000002</v>
      </c>
    </row>
    <row r="83" spans="2:3">
      <c r="B83" s="317" t="s">
        <v>1514</v>
      </c>
      <c r="C83" s="318">
        <f ca="1">ROUND(C13/C40,3)</f>
        <v>0.223</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6" t="s">
        <v>1403</v>
      </c>
      <c r="C6" s="1299">
        <f ca="1">ROUND(F6*F8*F7*(1-F9),0)</f>
        <v>0</v>
      </c>
      <c r="D6" s="164" t="s">
        <v>3035</v>
      </c>
      <c r="E6" s="347" t="s">
        <v>1405</v>
      </c>
      <c r="F6" s="348">
        <f ca="1">INDIRECT("'数据-取费表'!u"&amp;$G$1)</f>
        <v>0</v>
      </c>
      <c r="G6" s="1854"/>
      <c r="H6" s="1294" t="s">
        <v>1035</v>
      </c>
      <c r="I6" s="3236" t="s">
        <v>1403</v>
      </c>
      <c r="J6" s="346">
        <f ca="1">ROUND(M6*M8*M7*(1-M9),0)</f>
        <v>0</v>
      </c>
      <c r="K6" s="1837" t="s">
        <v>3036</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0</v>
      </c>
      <c r="G7" s="1854"/>
      <c r="H7" s="349"/>
      <c r="I7" s="3237"/>
      <c r="J7" s="351"/>
      <c r="K7" s="352"/>
      <c r="L7" s="347" t="s">
        <v>1406</v>
      </c>
      <c r="M7" s="348">
        <f ca="1">F7</f>
        <v>0</v>
      </c>
    </row>
    <row r="8" spans="1:37" ht="18" customHeight="1">
      <c r="A8" s="349"/>
      <c r="B8" s="3237"/>
      <c r="C8" s="351"/>
      <c r="D8" s="352"/>
      <c r="E8" s="347" t="s">
        <v>1407</v>
      </c>
      <c r="F8" s="348">
        <f ca="1">INDIRECT("'数据-取费表'!ai"&amp;$G$1)</f>
        <v>0</v>
      </c>
      <c r="G8" s="1854"/>
      <c r="H8" s="349"/>
      <c r="I8" s="3237"/>
      <c r="J8" s="351"/>
      <c r="K8" s="352"/>
      <c r="L8" s="347" t="s">
        <v>1407</v>
      </c>
      <c r="M8" s="348">
        <f ca="1">INDIRECT("'数据-取费表'!ai"&amp;$G$1)</f>
        <v>0</v>
      </c>
    </row>
    <row r="9" spans="1:37" ht="18" customHeight="1">
      <c r="A9" s="349"/>
      <c r="B9" s="3238"/>
      <c r="C9" s="351"/>
      <c r="D9" s="352"/>
      <c r="E9" s="347" t="s">
        <v>1408</v>
      </c>
      <c r="F9" s="357">
        <f ca="1">INDIRECT("'数据-取费表'!w"&amp;$G$1)</f>
        <v>0</v>
      </c>
      <c r="G9" s="1854"/>
      <c r="H9" s="349"/>
      <c r="I9" s="323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4" t="s">
        <v>1548</v>
      </c>
      <c r="L53" s="323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2531</v>
      </c>
      <c r="B1" s="2568"/>
      <c r="C1" s="2568"/>
      <c r="D1" s="2568"/>
      <c r="E1" s="2569"/>
    </row>
    <row r="2" spans="1:6" ht="15.75">
      <c r="A2" s="2570" t="s">
        <v>2332</v>
      </c>
      <c r="B2" s="2571">
        <f ca="1">SUMIF(B6:B13,"&lt;&gt;#ref!",B6:B13)</f>
        <v>198</v>
      </c>
      <c r="C2" s="2572" t="s">
        <v>2524</v>
      </c>
      <c r="D2" s="2573" t="s">
        <v>2525</v>
      </c>
      <c r="E2" s="2574">
        <f>SUM(E6:E13)</f>
        <v>126.55</v>
      </c>
    </row>
    <row r="3" spans="1:6" ht="15.75">
      <c r="A3" s="2570" t="s">
        <v>1395</v>
      </c>
      <c r="B3" s="2571">
        <f ca="1">ROUND(B2*10000/E2,0)</f>
        <v>15646</v>
      </c>
      <c r="C3" s="2572" t="s">
        <v>2532</v>
      </c>
      <c r="D3" s="2575"/>
      <c r="E3" s="2576"/>
    </row>
    <row r="4" spans="1:6" ht="15.75">
      <c r="A4" s="2577"/>
      <c r="B4" s="2575"/>
      <c r="C4" s="2575"/>
      <c r="D4" s="2575"/>
      <c r="E4" s="2576"/>
    </row>
    <row r="5" spans="1:6" ht="15">
      <c r="A5" s="2578" t="s">
        <v>2526</v>
      </c>
      <c r="B5" s="3239" t="s">
        <v>2527</v>
      </c>
      <c r="C5" s="3239"/>
      <c r="D5" s="2579"/>
      <c r="E5" s="2580" t="s">
        <v>2528</v>
      </c>
      <c r="F5" s="2581" t="s">
        <v>2529</v>
      </c>
    </row>
    <row r="6" spans="1:6">
      <c r="A6" s="2582" t="str">
        <f>'数据-取费表'!AN6</f>
        <v>收益法</v>
      </c>
      <c r="B6" s="2581">
        <f ca="1">IF(F6="是",'数据-取费表'!AO6,0)</f>
        <v>198</v>
      </c>
      <c r="C6" s="2572" t="s">
        <v>2524</v>
      </c>
      <c r="D6" s="2575"/>
      <c r="E6" s="2583">
        <f>IF(OR(A6=0,F6="否"),0,'数据-取费表'!K6+'数据-取费表'!S6)</f>
        <v>126.55</v>
      </c>
      <c r="F6" s="2584" t="s">
        <v>2530</v>
      </c>
    </row>
    <row r="7" spans="1:6">
      <c r="A7" s="2582">
        <f>'数据-取费表'!AN7</f>
        <v>0</v>
      </c>
      <c r="B7" s="2581" t="e">
        <f ca="1">IF(F7="是",'数据-取费表'!AO7,0)</f>
        <v>#REF!</v>
      </c>
      <c r="C7" s="2572" t="s">
        <v>2524</v>
      </c>
      <c r="D7" s="2575"/>
      <c r="E7" s="2583">
        <f>IF(OR(A7=0,F7="否"),0,'数据-取费表'!K7+'数据-取费表'!S7)</f>
        <v>0</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304" t="s">
        <v>1079</v>
      </c>
      <c r="E2" s="1304" t="s">
        <v>1080</v>
      </c>
      <c r="F2" s="1304" t="s">
        <v>1081</v>
      </c>
      <c r="G2" s="1304" t="s">
        <v>1082</v>
      </c>
      <c r="H2" s="1304" t="s">
        <v>1083</v>
      </c>
      <c r="I2" s="1305" t="s">
        <v>1084</v>
      </c>
    </row>
    <row r="3" spans="1:9">
      <c r="A3" s="3246"/>
      <c r="B3" s="3247" t="s">
        <v>1085</v>
      </c>
      <c r="C3" s="3247"/>
      <c r="D3" s="1306"/>
      <c r="E3" s="1304"/>
      <c r="F3" s="1307"/>
      <c r="G3" s="1307"/>
      <c r="H3" s="1308"/>
      <c r="I3" s="1309">
        <f>ROUND(D3*E3*F3*G3*H3/10000,0)</f>
        <v>0</v>
      </c>
    </row>
    <row r="4" spans="1:9">
      <c r="A4" s="3246"/>
      <c r="B4" s="3247" t="s">
        <v>1086</v>
      </c>
      <c r="C4" s="3247"/>
      <c r="D4" s="1306"/>
      <c r="E4" s="1304"/>
      <c r="F4" s="1307"/>
      <c r="G4" s="1307"/>
      <c r="H4" s="1308"/>
      <c r="I4" s="1309">
        <f t="shared" ref="I4:I9" si="0">ROUND(D4*E4*F4*G4*H4/10000,0)</f>
        <v>0</v>
      </c>
    </row>
    <row r="5" spans="1:9">
      <c r="A5" s="3246"/>
      <c r="B5" s="3247" t="s">
        <v>1087</v>
      </c>
      <c r="C5" s="3247"/>
      <c r="D5" s="1306"/>
      <c r="E5" s="1304"/>
      <c r="F5" s="1307"/>
      <c r="G5" s="1307"/>
      <c r="H5" s="1308"/>
      <c r="I5" s="1309">
        <f t="shared" si="0"/>
        <v>0</v>
      </c>
    </row>
    <row r="6" spans="1:9">
      <c r="A6" s="3246"/>
      <c r="B6" s="3247" t="s">
        <v>1088</v>
      </c>
      <c r="C6" s="3247"/>
      <c r="D6" s="1306"/>
      <c r="E6" s="1304"/>
      <c r="F6" s="1307"/>
      <c r="G6" s="1307"/>
      <c r="H6" s="1308"/>
      <c r="I6" s="1309">
        <f t="shared" si="0"/>
        <v>0</v>
      </c>
    </row>
    <row r="7" spans="1:9">
      <c r="A7" s="3246"/>
      <c r="B7" s="3247" t="s">
        <v>1089</v>
      </c>
      <c r="C7" s="3247"/>
      <c r="D7" s="1306"/>
      <c r="E7" s="1304"/>
      <c r="F7" s="1307"/>
      <c r="G7" s="1307"/>
      <c r="H7" s="1308"/>
      <c r="I7" s="1309">
        <f t="shared" si="0"/>
        <v>0</v>
      </c>
    </row>
    <row r="8" spans="1:9">
      <c r="A8" s="3246"/>
      <c r="B8" s="3247" t="s">
        <v>1090</v>
      </c>
      <c r="C8" s="3247"/>
      <c r="D8" s="1306"/>
      <c r="E8" s="1304"/>
      <c r="F8" s="1307"/>
      <c r="G8" s="1307"/>
      <c r="H8" s="1308"/>
      <c r="I8" s="1309">
        <f t="shared" si="0"/>
        <v>0</v>
      </c>
    </row>
    <row r="9" spans="1:9">
      <c r="A9" s="3246"/>
      <c r="B9" s="3247" t="s">
        <v>1091</v>
      </c>
      <c r="C9" s="3247"/>
      <c r="D9" s="1306"/>
      <c r="E9" s="1304"/>
      <c r="F9" s="1307"/>
      <c r="G9" s="1307"/>
      <c r="H9" s="1308"/>
      <c r="I9" s="1309">
        <f t="shared" si="0"/>
        <v>0</v>
      </c>
    </row>
    <row r="10" spans="1:9">
      <c r="A10" s="3246"/>
      <c r="B10" s="3248" t="s">
        <v>1092</v>
      </c>
      <c r="C10" s="3248"/>
      <c r="D10" s="1310"/>
      <c r="E10" s="1310" t="e">
        <f>ROUND(D1*10000/D10/H9,0)</f>
        <v>#DIV/0!</v>
      </c>
      <c r="F10" s="1311"/>
      <c r="G10" s="1311"/>
      <c r="H10" s="1312"/>
      <c r="I10" s="1313">
        <f>SUM(I3:I9)</f>
        <v>0</v>
      </c>
    </row>
    <row r="11" spans="1:9" ht="14.25">
      <c r="A11" s="3246" t="s">
        <v>1093</v>
      </c>
      <c r="B11" s="3247" t="s">
        <v>1094</v>
      </c>
      <c r="C11" s="3247"/>
      <c r="D11" s="1306" t="s">
        <v>1095</v>
      </c>
      <c r="E11" s="1306" t="s">
        <v>1096</v>
      </c>
      <c r="F11" s="1307" t="s">
        <v>1097</v>
      </c>
      <c r="G11" s="1307" t="s">
        <v>1083</v>
      </c>
      <c r="H11" s="1314" t="s">
        <v>1098</v>
      </c>
      <c r="I11" s="1305" t="s">
        <v>1084</v>
      </c>
    </row>
    <row r="12" spans="1:9">
      <c r="A12" s="3246"/>
      <c r="B12" s="3247" t="s">
        <v>1099</v>
      </c>
      <c r="C12" s="3247"/>
      <c r="D12" s="1306"/>
      <c r="E12" s="1306"/>
      <c r="F12" s="1307"/>
      <c r="G12" s="1308"/>
      <c r="H12" s="1315"/>
      <c r="I12" s="1305">
        <f>ROUND(D12*E12*F12*G12/10000,0)</f>
        <v>0</v>
      </c>
    </row>
    <row r="13" spans="1:9">
      <c r="A13" s="3246"/>
      <c r="B13" s="3247" t="s">
        <v>1100</v>
      </c>
      <c r="C13" s="3247"/>
      <c r="D13" s="1306"/>
      <c r="E13" s="1306"/>
      <c r="F13" s="1307"/>
      <c r="G13" s="1308"/>
      <c r="H13" s="1315"/>
      <c r="I13" s="1305">
        <f>ROUND(D13*E13*F13*G13/10000,0)</f>
        <v>0</v>
      </c>
    </row>
    <row r="14" spans="1:9">
      <c r="A14" s="3246"/>
      <c r="B14" s="3247" t="s">
        <v>1101</v>
      </c>
      <c r="C14" s="3247"/>
      <c r="D14" s="1306"/>
      <c r="E14" s="1306"/>
      <c r="F14" s="1307"/>
      <c r="G14" s="1308"/>
      <c r="H14" s="1315"/>
      <c r="I14" s="1305">
        <f>ROUND(D14*E14*F14*G14/10000,0)</f>
        <v>0</v>
      </c>
    </row>
    <row r="15" spans="1:9">
      <c r="A15" s="3246"/>
      <c r="B15" s="3248" t="s">
        <v>1092</v>
      </c>
      <c r="C15" s="3248"/>
      <c r="D15" s="1310"/>
      <c r="E15" s="1310">
        <f>SUM(E12:E14)</f>
        <v>0</v>
      </c>
      <c r="F15" s="1311"/>
      <c r="G15" s="1308"/>
      <c r="H15" s="1315"/>
      <c r="I15" s="1316">
        <f>SUM(I12:I14)</f>
        <v>0</v>
      </c>
    </row>
    <row r="16" spans="1:9" ht="24">
      <c r="A16" s="3246" t="s">
        <v>1102</v>
      </c>
      <c r="B16" s="3247" t="s">
        <v>1103</v>
      </c>
      <c r="C16" s="3247"/>
      <c r="D16" s="1306" t="s">
        <v>1079</v>
      </c>
      <c r="E16" s="1317" t="s">
        <v>1104</v>
      </c>
      <c r="F16" s="1307" t="s">
        <v>1105</v>
      </c>
      <c r="G16" s="1308" t="s">
        <v>1083</v>
      </c>
      <c r="H16" s="1314" t="s">
        <v>1098</v>
      </c>
      <c r="I16" s="1305" t="s">
        <v>1084</v>
      </c>
    </row>
    <row r="17" spans="1:9" ht="14.25">
      <c r="A17" s="3246"/>
      <c r="B17" s="3247" t="s">
        <v>1106</v>
      </c>
      <c r="C17" s="3247"/>
      <c r="D17" s="1306"/>
      <c r="E17" s="1306"/>
      <c r="F17" s="1307"/>
      <c r="G17" s="1308"/>
      <c r="H17" s="1318"/>
      <c r="I17" s="1319">
        <f>ROUND(D17*E17*F17*G17/10000,0)</f>
        <v>0</v>
      </c>
    </row>
    <row r="18" spans="1:9" ht="14.25">
      <c r="A18" s="3246"/>
      <c r="B18" s="3247" t="s">
        <v>1107</v>
      </c>
      <c r="C18" s="3247"/>
      <c r="D18" s="1306"/>
      <c r="E18" s="1306"/>
      <c r="F18" s="1307"/>
      <c r="G18" s="1308"/>
      <c r="H18" s="1318"/>
      <c r="I18" s="1319">
        <f>ROUND(D18*E18*F18*G18/10000,0)</f>
        <v>0</v>
      </c>
    </row>
    <row r="19" spans="1:9" ht="14.25">
      <c r="A19" s="3246"/>
      <c r="B19" s="3247" t="s">
        <v>1108</v>
      </c>
      <c r="C19" s="3247"/>
      <c r="D19" s="1306"/>
      <c r="E19" s="1306"/>
      <c r="F19" s="1307"/>
      <c r="G19" s="1308"/>
      <c r="H19" s="1318"/>
      <c r="I19" s="1319">
        <f>ROUND(D19*E19*F19*G19/10000,0)</f>
        <v>0</v>
      </c>
    </row>
    <row r="20" spans="1:9">
      <c r="A20" s="3246"/>
      <c r="B20" s="3248" t="s">
        <v>1092</v>
      </c>
      <c r="C20" s="3248"/>
      <c r="D20" s="1310">
        <f>SUM(D17:D19)</f>
        <v>0</v>
      </c>
      <c r="E20" s="1310"/>
      <c r="F20" s="1311"/>
      <c r="G20" s="1308"/>
      <c r="H20" s="1315"/>
      <c r="I20" s="1316">
        <f>SUM(I17:I19)</f>
        <v>0</v>
      </c>
    </row>
    <row r="21" spans="1:9">
      <c r="A21" s="3246" t="s">
        <v>1109</v>
      </c>
      <c r="B21" s="3249"/>
      <c r="C21" s="3249"/>
      <c r="D21" s="3249"/>
      <c r="E21" s="3249"/>
      <c r="F21" s="3249"/>
      <c r="G21" s="3249"/>
      <c r="H21" s="1768">
        <v>0.1</v>
      </c>
      <c r="I21" s="1313">
        <f>ROUND(I10*H21,0)</f>
        <v>0</v>
      </c>
    </row>
    <row r="22" spans="1:9" ht="14.25">
      <c r="A22" s="3250" t="s">
        <v>1110</v>
      </c>
      <c r="B22" s="3251"/>
      <c r="C22" s="3252"/>
      <c r="D22" s="1320" t="s">
        <v>1111</v>
      </c>
      <c r="E22" s="1320" t="s">
        <v>1112</v>
      </c>
      <c r="F22" s="1321" t="s">
        <v>1113</v>
      </c>
      <c r="G22" s="1321" t="s">
        <v>1114</v>
      </c>
      <c r="H22" s="1314" t="s">
        <v>1115</v>
      </c>
      <c r="I22" s="1305" t="s">
        <v>1116</v>
      </c>
    </row>
    <row r="23" spans="1:9" ht="14.25" thickBot="1">
      <c r="A23" s="3253"/>
      <c r="B23" s="3254"/>
      <c r="C23" s="3255"/>
      <c r="D23" s="1322"/>
      <c r="E23" s="1322"/>
      <c r="F23" s="1322"/>
      <c r="G23" s="1323"/>
      <c r="H23" s="1324"/>
      <c r="I23" s="1325">
        <f>ROUND(E23*D23*F23*(1-G23)/10000,0)</f>
        <v>0</v>
      </c>
    </row>
    <row r="26" spans="1:9">
      <c r="A26" s="1326" t="s">
        <v>1117</v>
      </c>
      <c r="B26" s="1326"/>
      <c r="C26" s="1326"/>
      <c r="D26" s="1326"/>
      <c r="E26" s="3243">
        <f>C27-C30-C31-C32</f>
        <v>0</v>
      </c>
      <c r="F26" s="3243"/>
      <c r="G26" s="3243"/>
      <c r="H26" s="1740" t="s">
        <v>1340</v>
      </c>
    </row>
    <row r="27" spans="1:9">
      <c r="A27" s="1327">
        <v>1</v>
      </c>
      <c r="B27" s="1328" t="s">
        <v>1118</v>
      </c>
      <c r="C27" s="1328">
        <f>C28+C29</f>
        <v>0</v>
      </c>
      <c r="D27" s="1328"/>
      <c r="E27" s="3244"/>
      <c r="F27" s="3244"/>
      <c r="G27" s="3244"/>
    </row>
    <row r="28" spans="1:9">
      <c r="A28" s="1329" t="s">
        <v>1119</v>
      </c>
      <c r="B28" s="1328" t="s">
        <v>1120</v>
      </c>
      <c r="C28" s="1328"/>
      <c r="D28" s="1328"/>
      <c r="E28" s="3244"/>
      <c r="F28" s="3244"/>
      <c r="G28" s="324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5"/>
      <c r="F32" s="3245"/>
      <c r="G32" s="3245"/>
    </row>
    <row r="33" spans="1:7" hidden="1">
      <c r="A33" s="3240" t="s">
        <v>1129</v>
      </c>
      <c r="B33" s="3241"/>
      <c r="C33" s="3241"/>
      <c r="D33" s="3242"/>
      <c r="E33" s="3243"/>
      <c r="F33" s="3243"/>
      <c r="G33" s="3243"/>
    </row>
    <row r="34" spans="1:7" hidden="1">
      <c r="A34" s="1331">
        <v>1</v>
      </c>
      <c r="B34" s="1328" t="s">
        <v>1130</v>
      </c>
      <c r="C34" s="1328"/>
      <c r="D34" s="1328"/>
      <c r="E34" s="3244"/>
      <c r="F34" s="3244"/>
      <c r="G34" s="3244"/>
    </row>
    <row r="35" spans="1:7" hidden="1">
      <c r="A35" s="1331">
        <v>2</v>
      </c>
      <c r="B35" s="1328" t="s">
        <v>1131</v>
      </c>
      <c r="C35" s="1328"/>
      <c r="D35" s="1328"/>
      <c r="E35" s="3244"/>
      <c r="F35" s="3244"/>
      <c r="G35" s="3244"/>
    </row>
    <row r="36" spans="1:7" hidden="1">
      <c r="A36" s="1331">
        <v>3</v>
      </c>
      <c r="B36" s="1328" t="s">
        <v>1132</v>
      </c>
      <c r="C36" s="1328"/>
      <c r="D36" s="1328"/>
      <c r="E36" s="3244"/>
      <c r="F36" s="3244"/>
      <c r="G36" s="3244"/>
    </row>
    <row r="37" spans="1:7" hidden="1">
      <c r="A37" s="1331">
        <v>4</v>
      </c>
      <c r="B37" s="1328" t="s">
        <v>1133</v>
      </c>
      <c r="C37" s="1328"/>
      <c r="D37" s="1328"/>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2534</v>
      </c>
      <c r="C1" s="1637" t="s">
        <v>2535</v>
      </c>
      <c r="D1" s="1624"/>
      <c r="E1" s="2589"/>
      <c r="F1" s="2590" t="s">
        <v>2536</v>
      </c>
      <c r="G1" s="1634" t="s">
        <v>2537</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25223.160000000011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207" t="s">
        <v>2541</v>
      </c>
      <c r="D4" s="3208"/>
      <c r="E4" s="3209" t="s">
        <v>2542</v>
      </c>
      <c r="F4" s="3210"/>
      <c r="G4" s="3207" t="s">
        <v>2543</v>
      </c>
      <c r="H4" s="3208"/>
      <c r="I4" s="3207" t="s">
        <v>2544</v>
      </c>
      <c r="J4" s="3208"/>
      <c r="K4" s="2602" t="s">
        <v>2545</v>
      </c>
      <c r="L4" s="1133"/>
      <c r="M4" s="1134"/>
      <c r="N4" s="1134"/>
      <c r="O4" s="1134"/>
      <c r="P4" s="3211" t="s">
        <v>2546</v>
      </c>
      <c r="Q4" s="3212"/>
      <c r="R4" s="3217" t="s">
        <v>2542</v>
      </c>
      <c r="S4" s="3218"/>
      <c r="T4" s="3217" t="s">
        <v>2543</v>
      </c>
      <c r="U4" s="3218"/>
      <c r="V4" s="3202" t="s">
        <v>2544</v>
      </c>
      <c r="W4" s="3202"/>
      <c r="X4" s="1816"/>
      <c r="Y4" s="3217" t="s">
        <v>2546</v>
      </c>
      <c r="Z4" s="3218"/>
      <c r="AA4" s="3204" t="s">
        <v>2542</v>
      </c>
      <c r="AB4" s="3204" t="s">
        <v>2543</v>
      </c>
      <c r="AC4" s="3204" t="s">
        <v>2544</v>
      </c>
    </row>
    <row r="5" spans="1:29" ht="15">
      <c r="A5" s="404"/>
      <c r="B5" s="405"/>
      <c r="C5" s="3225" t="s">
        <v>2547</v>
      </c>
      <c r="D5" s="3226"/>
      <c r="E5" s="3232" t="s">
        <v>2548</v>
      </c>
      <c r="F5" s="3233"/>
      <c r="G5" s="3225" t="s">
        <v>2549</v>
      </c>
      <c r="H5" s="3226"/>
      <c r="I5" s="3225" t="s">
        <v>2550</v>
      </c>
      <c r="J5" s="3226"/>
      <c r="K5" s="2603"/>
      <c r="L5" s="1133"/>
      <c r="M5" s="1134"/>
      <c r="N5" s="1134"/>
      <c r="O5" s="1134"/>
      <c r="P5" s="3213"/>
      <c r="Q5" s="3214"/>
      <c r="R5" s="3219"/>
      <c r="S5" s="3220"/>
      <c r="T5" s="3219"/>
      <c r="U5" s="3220"/>
      <c r="V5" s="3202"/>
      <c r="W5" s="3202"/>
      <c r="X5" s="1816"/>
      <c r="Y5" s="3219"/>
      <c r="Z5" s="3220"/>
      <c r="AA5" s="3205"/>
      <c r="AB5" s="3205"/>
      <c r="AC5" s="3205"/>
    </row>
    <row r="6" spans="1:29" ht="15.75" thickBot="1">
      <c r="A6" s="406"/>
      <c r="B6" s="407"/>
      <c r="C6" s="3223" t="s">
        <v>2551</v>
      </c>
      <c r="D6" s="3224"/>
      <c r="E6" s="3230" t="s">
        <v>2551</v>
      </c>
      <c r="F6" s="3231"/>
      <c r="G6" s="3223" t="s">
        <v>2551</v>
      </c>
      <c r="H6" s="3224"/>
      <c r="I6" s="3223" t="s">
        <v>2551</v>
      </c>
      <c r="J6" s="3224"/>
      <c r="K6" s="2603" t="s">
        <v>2552</v>
      </c>
      <c r="L6" s="1133"/>
      <c r="M6" s="1134"/>
      <c r="N6" s="1134"/>
      <c r="O6" s="1134"/>
      <c r="P6" s="3215"/>
      <c r="Q6" s="3216"/>
      <c r="R6" s="3219"/>
      <c r="S6" s="3220"/>
      <c r="T6" s="3221"/>
      <c r="U6" s="3222"/>
      <c r="V6" s="3202"/>
      <c r="W6" s="3202"/>
      <c r="X6" s="1816"/>
      <c r="Y6" s="3221"/>
      <c r="Z6" s="3222"/>
      <c r="AA6" s="3206"/>
      <c r="AB6" s="3206"/>
      <c r="AC6" s="3206"/>
    </row>
    <row r="7" spans="1:29" s="117" customFormat="1" ht="15.75" thickBot="1">
      <c r="A7" s="408" t="s">
        <v>2553</v>
      </c>
      <c r="B7" s="409"/>
      <c r="C7" s="410">
        <f>'数据-取费表'!B2</f>
        <v>43362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7" t="s">
        <v>2554</v>
      </c>
      <c r="Q7" s="3229"/>
      <c r="R7" s="770" t="s">
        <v>23</v>
      </c>
      <c r="S7" s="771">
        <f t="shared" ref="S7:S15" si="0">F7</f>
        <v>0</v>
      </c>
      <c r="T7" s="770" t="s">
        <v>23</v>
      </c>
      <c r="U7" s="771">
        <f t="shared" ref="U7:U15" si="1">H7</f>
        <v>0</v>
      </c>
      <c r="V7" s="770" t="s">
        <v>23</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7" t="s">
        <v>2557</v>
      </c>
      <c r="Q8" s="3228"/>
      <c r="R8" s="770" t="s">
        <v>23</v>
      </c>
      <c r="S8" s="771">
        <f t="shared" si="0"/>
        <v>0</v>
      </c>
      <c r="T8" s="770" t="s">
        <v>23</v>
      </c>
      <c r="U8" s="771">
        <f t="shared" si="1"/>
        <v>0</v>
      </c>
      <c r="V8" s="770" t="s">
        <v>23</v>
      </c>
      <c r="W8" s="771">
        <f t="shared" si="2"/>
        <v>0</v>
      </c>
      <c r="X8" s="772"/>
      <c r="Y8" s="3227" t="s">
        <v>2557</v>
      </c>
      <c r="Z8" s="3228"/>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3"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2564</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3" t="s">
        <v>2565</v>
      </c>
      <c r="Q15" s="1813" t="str">
        <f t="shared" si="6"/>
        <v>居住社区成熟度</v>
      </c>
      <c r="R15" s="774" t="s">
        <v>21</v>
      </c>
      <c r="S15" s="775">
        <f t="shared" si="0"/>
        <v>100</v>
      </c>
      <c r="T15" s="774" t="s">
        <v>21</v>
      </c>
      <c r="U15" s="775">
        <f t="shared" si="1"/>
        <v>100</v>
      </c>
      <c r="V15" s="774" t="s">
        <v>21</v>
      </c>
      <c r="W15" s="775">
        <f t="shared" si="2"/>
        <v>100</v>
      </c>
      <c r="X15" s="1816"/>
      <c r="Y15" s="3195" t="s">
        <v>2565</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4"/>
      <c r="Q16" s="1813"/>
      <c r="R16" s="774"/>
      <c r="S16" s="775"/>
      <c r="T16" s="774"/>
      <c r="U16" s="775"/>
      <c r="V16" s="774"/>
      <c r="W16" s="775"/>
      <c r="X16" s="1816"/>
      <c r="Y16" s="319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4"/>
      <c r="Q17" s="1813" t="str">
        <f>B17</f>
        <v>交通便捷度</v>
      </c>
      <c r="R17" s="774" t="s">
        <v>21</v>
      </c>
      <c r="S17" s="775">
        <f>F17</f>
        <v>100</v>
      </c>
      <c r="T17" s="774" t="s">
        <v>21</v>
      </c>
      <c r="U17" s="775">
        <f>H17</f>
        <v>100</v>
      </c>
      <c r="V17" s="774" t="s">
        <v>21</v>
      </c>
      <c r="W17" s="775">
        <f>J17</f>
        <v>100</v>
      </c>
      <c r="X17" s="1816"/>
      <c r="Y17" s="319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4"/>
      <c r="Q18" s="1813"/>
      <c r="R18" s="774"/>
      <c r="S18" s="775"/>
      <c r="T18" s="774"/>
      <c r="U18" s="775"/>
      <c r="V18" s="774"/>
      <c r="W18" s="775"/>
      <c r="X18" s="1816"/>
      <c r="Y18" s="3196"/>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4"/>
      <c r="Q19" s="1813" t="str">
        <f>B19</f>
        <v>公共配套设施</v>
      </c>
      <c r="R19" s="774" t="s">
        <v>21</v>
      </c>
      <c r="S19" s="775">
        <f>F19</f>
        <v>100</v>
      </c>
      <c r="T19" s="774" t="s">
        <v>21</v>
      </c>
      <c r="U19" s="775">
        <f>H19</f>
        <v>100</v>
      </c>
      <c r="V19" s="774" t="s">
        <v>21</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4"/>
      <c r="Q20" s="1813"/>
      <c r="R20" s="774"/>
      <c r="S20" s="775"/>
      <c r="T20" s="774"/>
      <c r="U20" s="775"/>
      <c r="V20" s="774"/>
      <c r="W20" s="775"/>
      <c r="X20" s="1816"/>
      <c r="Y20" s="3196"/>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4"/>
      <c r="Q22" s="1813"/>
      <c r="R22" s="774"/>
      <c r="S22" s="775"/>
      <c r="T22" s="774"/>
      <c r="U22" s="775"/>
      <c r="V22" s="774"/>
      <c r="W22" s="775"/>
      <c r="X22" s="1816"/>
      <c r="Y22" s="3196"/>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4"/>
      <c r="Q23" s="1813" t="str">
        <f>B23</f>
        <v>自然及人文环境</v>
      </c>
      <c r="R23" s="774" t="s">
        <v>21</v>
      </c>
      <c r="S23" s="775">
        <f>F23</f>
        <v>100</v>
      </c>
      <c r="T23" s="774" t="s">
        <v>21</v>
      </c>
      <c r="U23" s="775">
        <f>H23</f>
        <v>100</v>
      </c>
      <c r="V23" s="774" t="s">
        <v>21</v>
      </c>
      <c r="W23" s="775">
        <f>J23</f>
        <v>100</v>
      </c>
      <c r="X23" s="1816"/>
      <c r="Y23" s="319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4"/>
      <c r="Q24" s="1813"/>
      <c r="R24" s="774"/>
      <c r="S24" s="775"/>
      <c r="T24" s="774"/>
      <c r="U24" s="775"/>
      <c r="V24" s="774"/>
      <c r="W24" s="775"/>
      <c r="X24" s="1816"/>
      <c r="Y24" s="3196"/>
      <c r="Z24" s="1817"/>
      <c r="AA24" s="1814">
        <v>1</v>
      </c>
      <c r="AB24" s="1814">
        <v>1</v>
      </c>
      <c r="AC24" s="1814">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6"/>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4"/>
      <c r="Q26" s="1813" t="str">
        <f t="shared" si="11"/>
        <v>朝向</v>
      </c>
      <c r="R26" s="774" t="s">
        <v>21</v>
      </c>
      <c r="S26" s="775">
        <f t="shared" si="12"/>
        <v>100</v>
      </c>
      <c r="T26" s="774" t="s">
        <v>21</v>
      </c>
      <c r="U26" s="775">
        <f t="shared" si="13"/>
        <v>100</v>
      </c>
      <c r="V26" s="774" t="s">
        <v>21</v>
      </c>
      <c r="W26" s="775">
        <f t="shared" si="14"/>
        <v>100</v>
      </c>
      <c r="X26" s="1816"/>
      <c r="Y26" s="319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4"/>
      <c r="Q27" s="1798">
        <f t="shared" si="11"/>
        <v>111</v>
      </c>
      <c r="R27" s="770" t="s">
        <v>21</v>
      </c>
      <c r="S27" s="771">
        <f t="shared" si="12"/>
        <v>100</v>
      </c>
      <c r="T27" s="770" t="s">
        <v>21</v>
      </c>
      <c r="U27" s="771">
        <f t="shared" si="13"/>
        <v>100</v>
      </c>
      <c r="V27" s="770" t="s">
        <v>21</v>
      </c>
      <c r="W27" s="771">
        <f t="shared" si="14"/>
        <v>100</v>
      </c>
      <c r="X27" s="772"/>
      <c r="Y27" s="319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4"/>
      <c r="Q28" s="1813">
        <f t="shared" si="11"/>
        <v>111</v>
      </c>
      <c r="R28" s="774" t="s">
        <v>21</v>
      </c>
      <c r="S28" s="775">
        <f t="shared" si="12"/>
        <v>100</v>
      </c>
      <c r="T28" s="774" t="s">
        <v>21</v>
      </c>
      <c r="U28" s="775">
        <f t="shared" si="13"/>
        <v>100</v>
      </c>
      <c r="V28" s="774" t="s">
        <v>21</v>
      </c>
      <c r="W28" s="775">
        <f t="shared" si="14"/>
        <v>100</v>
      </c>
      <c r="X28" s="1816"/>
      <c r="Y28" s="319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4"/>
      <c r="Q29" s="1813">
        <f t="shared" si="11"/>
        <v>111</v>
      </c>
      <c r="R29" s="774" t="s">
        <v>21</v>
      </c>
      <c r="S29" s="775">
        <f t="shared" si="12"/>
        <v>100</v>
      </c>
      <c r="T29" s="774" t="s">
        <v>21</v>
      </c>
      <c r="U29" s="775">
        <f t="shared" si="13"/>
        <v>100</v>
      </c>
      <c r="V29" s="774" t="s">
        <v>21</v>
      </c>
      <c r="W29" s="775">
        <f t="shared" si="14"/>
        <v>100</v>
      </c>
      <c r="X29" s="1816"/>
      <c r="Y29" s="319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4"/>
      <c r="Q30" s="1813">
        <f t="shared" si="11"/>
        <v>111</v>
      </c>
      <c r="R30" s="774" t="s">
        <v>21</v>
      </c>
      <c r="S30" s="775">
        <f t="shared" si="12"/>
        <v>100</v>
      </c>
      <c r="T30" s="774" t="s">
        <v>21</v>
      </c>
      <c r="U30" s="775">
        <f t="shared" si="13"/>
        <v>100</v>
      </c>
      <c r="V30" s="774" t="s">
        <v>21</v>
      </c>
      <c r="W30" s="775">
        <f t="shared" si="14"/>
        <v>100</v>
      </c>
      <c r="X30" s="1816"/>
      <c r="Y30" s="319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4"/>
      <c r="Q31" s="1813">
        <f t="shared" si="11"/>
        <v>111</v>
      </c>
      <c r="R31" s="774" t="s">
        <v>21</v>
      </c>
      <c r="S31" s="775">
        <f t="shared" si="12"/>
        <v>100</v>
      </c>
      <c r="T31" s="774" t="s">
        <v>21</v>
      </c>
      <c r="U31" s="775">
        <f t="shared" si="13"/>
        <v>100</v>
      </c>
      <c r="V31" s="774" t="s">
        <v>21</v>
      </c>
      <c r="W31" s="775">
        <f t="shared" si="14"/>
        <v>100</v>
      </c>
      <c r="X31" s="1816"/>
      <c r="Y31" s="3196"/>
      <c r="Z31" s="1817">
        <f t="shared" si="18"/>
        <v>111</v>
      </c>
      <c r="AA31" s="1814">
        <f t="shared" si="15"/>
        <v>1</v>
      </c>
      <c r="AB31" s="1814">
        <f t="shared" si="16"/>
        <v>1</v>
      </c>
      <c r="AC31" s="1814">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7" t="s">
        <v>2570</v>
      </c>
      <c r="Q32" s="1813" t="str">
        <f t="shared" si="11"/>
        <v>建筑类型</v>
      </c>
      <c r="R32" s="774" t="s">
        <v>21</v>
      </c>
      <c r="S32" s="775">
        <f t="shared" si="12"/>
        <v>100</v>
      </c>
      <c r="T32" s="774" t="s">
        <v>21</v>
      </c>
      <c r="U32" s="775">
        <f t="shared" si="13"/>
        <v>100</v>
      </c>
      <c r="V32" s="774" t="s">
        <v>21</v>
      </c>
      <c r="W32" s="775">
        <f t="shared" si="14"/>
        <v>100</v>
      </c>
      <c r="X32" s="1816"/>
      <c r="Y32" s="3200"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8"/>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4" t="e">
        <f t="shared" si="15"/>
        <v>#N/A</v>
      </c>
      <c r="AB33" s="1814" t="e">
        <f t="shared" si="16"/>
        <v>#N/A</v>
      </c>
      <c r="AC33" s="1814"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8"/>
      <c r="Q34" s="1813" t="str">
        <f t="shared" si="11"/>
        <v>建筑结构</v>
      </c>
      <c r="R34" s="774" t="s">
        <v>21</v>
      </c>
      <c r="S34" s="775">
        <f t="shared" si="12"/>
        <v>100</v>
      </c>
      <c r="T34" s="774" t="s">
        <v>21</v>
      </c>
      <c r="U34" s="775">
        <f t="shared" si="13"/>
        <v>100</v>
      </c>
      <c r="V34" s="774" t="s">
        <v>21</v>
      </c>
      <c r="W34" s="775">
        <f t="shared" si="14"/>
        <v>100</v>
      </c>
      <c r="X34" s="1816"/>
      <c r="Y34" s="3200"/>
      <c r="Z34" s="1817" t="str">
        <f t="shared" si="18"/>
        <v>建筑结构</v>
      </c>
      <c r="AA34" s="1814">
        <f t="shared" si="15"/>
        <v>1</v>
      </c>
      <c r="AB34" s="1814">
        <f t="shared" si="16"/>
        <v>1</v>
      </c>
      <c r="AC34" s="1814">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8"/>
      <c r="Q35" s="1813" t="str">
        <f t="shared" si="11"/>
        <v>建筑品质</v>
      </c>
      <c r="R35" s="774" t="s">
        <v>21</v>
      </c>
      <c r="S35" s="775">
        <f t="shared" si="12"/>
        <v>100</v>
      </c>
      <c r="T35" s="774" t="s">
        <v>21</v>
      </c>
      <c r="U35" s="775">
        <f t="shared" si="13"/>
        <v>100</v>
      </c>
      <c r="V35" s="774" t="s">
        <v>21</v>
      </c>
      <c r="W35" s="775">
        <f t="shared" si="14"/>
        <v>100</v>
      </c>
      <c r="X35" s="1816"/>
      <c r="Y35" s="3200"/>
      <c r="Z35" s="1817" t="str">
        <f t="shared" si="18"/>
        <v>建筑品质</v>
      </c>
      <c r="AA35" s="1814">
        <f t="shared" si="15"/>
        <v>1</v>
      </c>
      <c r="AB35" s="1814">
        <f t="shared" si="16"/>
        <v>1</v>
      </c>
      <c r="AC35" s="1814">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8"/>
      <c r="Q36" s="1813" t="str">
        <f t="shared" si="11"/>
        <v>公共部分装修</v>
      </c>
      <c r="R36" s="774" t="s">
        <v>21</v>
      </c>
      <c r="S36" s="775">
        <f t="shared" si="12"/>
        <v>100</v>
      </c>
      <c r="T36" s="774" t="s">
        <v>21</v>
      </c>
      <c r="U36" s="775">
        <f t="shared" si="13"/>
        <v>100</v>
      </c>
      <c r="V36" s="774" t="s">
        <v>21</v>
      </c>
      <c r="W36" s="775">
        <f t="shared" si="14"/>
        <v>100</v>
      </c>
      <c r="X36" s="1816"/>
      <c r="Y36" s="3200"/>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8"/>
      <c r="Q37" s="1798"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8" t="s">
        <v>2570</v>
      </c>
      <c r="Q38" s="1813" t="str">
        <f t="shared" si="11"/>
        <v>物业管理</v>
      </c>
      <c r="R38" s="774" t="s">
        <v>21</v>
      </c>
      <c r="S38" s="775">
        <f t="shared" si="12"/>
        <v>100</v>
      </c>
      <c r="T38" s="774" t="s">
        <v>21</v>
      </c>
      <c r="U38" s="775">
        <f t="shared" si="13"/>
        <v>100</v>
      </c>
      <c r="V38" s="774" t="s">
        <v>21</v>
      </c>
      <c r="W38" s="775">
        <f t="shared" si="14"/>
        <v>100</v>
      </c>
      <c r="X38" s="1816"/>
      <c r="Y38" s="3200" t="s">
        <v>2570</v>
      </c>
      <c r="Z38" s="1817" t="str">
        <f t="shared" si="18"/>
        <v>物业管理</v>
      </c>
      <c r="AA38" s="1814">
        <f t="shared" si="15"/>
        <v>1</v>
      </c>
      <c r="AB38" s="1814">
        <f t="shared" si="16"/>
        <v>1</v>
      </c>
      <c r="AC38" s="1814">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8"/>
      <c r="Q39" s="1813" t="str">
        <f t="shared" si="11"/>
        <v>市政基础设施</v>
      </c>
      <c r="R39" s="774" t="s">
        <v>21</v>
      </c>
      <c r="S39" s="775">
        <f t="shared" si="12"/>
        <v>100</v>
      </c>
      <c r="T39" s="774" t="s">
        <v>21</v>
      </c>
      <c r="U39" s="775">
        <f t="shared" si="13"/>
        <v>100</v>
      </c>
      <c r="V39" s="774" t="s">
        <v>21</v>
      </c>
      <c r="W39" s="775">
        <f t="shared" si="14"/>
        <v>100</v>
      </c>
      <c r="X39" s="1816"/>
      <c r="Y39" s="3200"/>
      <c r="Z39" s="1817" t="str">
        <f t="shared" si="18"/>
        <v>市政基础设施</v>
      </c>
      <c r="AA39" s="1814">
        <f t="shared" si="15"/>
        <v>1</v>
      </c>
      <c r="AB39" s="1814">
        <f t="shared" si="16"/>
        <v>1</v>
      </c>
      <c r="AC39" s="1814">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8"/>
      <c r="Q40" s="1813" t="str">
        <f t="shared" si="11"/>
        <v>房型</v>
      </c>
      <c r="R40" s="774" t="s">
        <v>21</v>
      </c>
      <c r="S40" s="775">
        <f t="shared" si="12"/>
        <v>100</v>
      </c>
      <c r="T40" s="774" t="s">
        <v>21</v>
      </c>
      <c r="U40" s="775">
        <f t="shared" si="13"/>
        <v>100</v>
      </c>
      <c r="V40" s="774" t="s">
        <v>21</v>
      </c>
      <c r="W40" s="775">
        <f t="shared" si="14"/>
        <v>100</v>
      </c>
      <c r="X40" s="1816"/>
      <c r="Y40" s="3200"/>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8"/>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4">
        <f t="shared" si="15"/>
        <v>1</v>
      </c>
      <c r="AB41" s="1814">
        <f t="shared" si="16"/>
        <v>1</v>
      </c>
      <c r="AC41" s="1814">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8"/>
      <c r="Q42" s="1813" t="str">
        <f t="shared" si="11"/>
        <v>内部装修</v>
      </c>
      <c r="R42" s="774" t="s">
        <v>21</v>
      </c>
      <c r="S42" s="775">
        <f t="shared" si="12"/>
        <v>100</v>
      </c>
      <c r="T42" s="774" t="s">
        <v>21</v>
      </c>
      <c r="U42" s="775">
        <f t="shared" si="13"/>
        <v>100</v>
      </c>
      <c r="V42" s="774" t="s">
        <v>21</v>
      </c>
      <c r="W42" s="775">
        <f t="shared" si="14"/>
        <v>100</v>
      </c>
      <c r="X42" s="1816"/>
      <c r="Y42" s="3200"/>
      <c r="Z42" s="1817" t="str">
        <f t="shared" si="18"/>
        <v>内部装修</v>
      </c>
      <c r="AA42" s="1814">
        <f t="shared" si="15"/>
        <v>1</v>
      </c>
      <c r="AB42" s="1814">
        <f t="shared" si="16"/>
        <v>1</v>
      </c>
      <c r="AC42" s="1814">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8"/>
      <c r="Q43" s="1813" t="str">
        <f t="shared" si="11"/>
        <v>内部装修维护情况</v>
      </c>
      <c r="R43" s="774" t="s">
        <v>21</v>
      </c>
      <c r="S43" s="775">
        <f t="shared" si="12"/>
        <v>100</v>
      </c>
      <c r="T43" s="774" t="s">
        <v>21</v>
      </c>
      <c r="U43" s="775">
        <f t="shared" si="13"/>
        <v>100</v>
      </c>
      <c r="V43" s="774" t="s">
        <v>21</v>
      </c>
      <c r="W43" s="775">
        <f t="shared" si="14"/>
        <v>100</v>
      </c>
      <c r="X43" s="1816"/>
      <c r="Y43" s="320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8"/>
      <c r="Q44" s="1798">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8"/>
      <c r="Q45" s="1813">
        <f t="shared" si="11"/>
        <v>111</v>
      </c>
      <c r="R45" s="774" t="s">
        <v>21</v>
      </c>
      <c r="S45" s="775">
        <f t="shared" si="12"/>
        <v>100</v>
      </c>
      <c r="T45" s="774" t="s">
        <v>21</v>
      </c>
      <c r="U45" s="775">
        <f t="shared" si="13"/>
        <v>100</v>
      </c>
      <c r="V45" s="774" t="s">
        <v>21</v>
      </c>
      <c r="W45" s="775">
        <f t="shared" si="14"/>
        <v>100</v>
      </c>
      <c r="X45" s="1816"/>
      <c r="Y45" s="3200"/>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9"/>
      <c r="Q46" s="1813">
        <f t="shared" si="11"/>
        <v>111</v>
      </c>
      <c r="R46" s="774" t="s">
        <v>20</v>
      </c>
      <c r="S46" s="775">
        <f t="shared" si="12"/>
        <v>100</v>
      </c>
      <c r="T46" s="774" t="s">
        <v>20</v>
      </c>
      <c r="U46" s="775">
        <f t="shared" si="13"/>
        <v>100</v>
      </c>
      <c r="V46" s="774" t="s">
        <v>20</v>
      </c>
      <c r="W46" s="775">
        <f t="shared" si="14"/>
        <v>100</v>
      </c>
      <c r="X46" s="1816"/>
      <c r="Y46" s="3201"/>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7"/>
      <c r="L47" s="1146"/>
      <c r="M47" s="1147"/>
      <c r="N47" s="1134"/>
      <c r="O47" s="1147"/>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190" t="str">
        <f>A49</f>
        <v>估价对象XX用房的比较价值（楼面单价，元/平方米）</v>
      </c>
      <c r="Q49" s="3191"/>
      <c r="R49" s="3192" t="e">
        <f>IF(F1="售价",ROUND(AVERAGE(R48:V48),0),ROUND(AVERAGE(R48:V48),1))</f>
        <v>#DIV/0!</v>
      </c>
      <c r="S49" s="3192"/>
      <c r="T49" s="3192"/>
      <c r="U49" s="3192"/>
      <c r="V49" s="3192"/>
      <c r="W49" s="319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2691</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25223.160000000011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67" t="s">
        <v>2656</v>
      </c>
      <c r="Q4" s="3268"/>
      <c r="R4" s="3271" t="s">
        <v>2652</v>
      </c>
      <c r="S4" s="3272"/>
      <c r="T4" s="3271" t="s">
        <v>2653</v>
      </c>
      <c r="U4" s="3272"/>
      <c r="V4" s="3273" t="s">
        <v>2654</v>
      </c>
      <c r="W4" s="3273"/>
      <c r="X4" s="2676"/>
      <c r="Y4" s="3271" t="s">
        <v>2656</v>
      </c>
      <c r="Z4" s="3272"/>
      <c r="AA4" s="3275" t="s">
        <v>2652</v>
      </c>
      <c r="AB4" s="3275" t="s">
        <v>2653</v>
      </c>
      <c r="AC4" s="3264" t="s">
        <v>2654</v>
      </c>
    </row>
    <row r="5" spans="1:29" ht="15">
      <c r="A5" s="404"/>
      <c r="B5" s="405"/>
      <c r="C5" s="3225" t="s">
        <v>2547</v>
      </c>
      <c r="D5" s="3226"/>
      <c r="E5" s="3232" t="s">
        <v>2548</v>
      </c>
      <c r="F5" s="3233"/>
      <c r="G5" s="3225" t="s">
        <v>2549</v>
      </c>
      <c r="H5" s="3226"/>
      <c r="I5" s="3225" t="s">
        <v>2550</v>
      </c>
      <c r="J5" s="3226"/>
      <c r="K5" s="610"/>
      <c r="L5" s="1133"/>
      <c r="M5" s="1134"/>
      <c r="N5" s="1134"/>
      <c r="O5" s="1134"/>
      <c r="P5" s="3269"/>
      <c r="Q5" s="3214"/>
      <c r="R5" s="3219"/>
      <c r="S5" s="3220"/>
      <c r="T5" s="3219"/>
      <c r="U5" s="3220"/>
      <c r="V5" s="3202"/>
      <c r="W5" s="3202"/>
      <c r="X5" s="1816"/>
      <c r="Y5" s="3219"/>
      <c r="Z5" s="3220"/>
      <c r="AA5" s="3205"/>
      <c r="AB5" s="3205"/>
      <c r="AC5" s="3265"/>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70"/>
      <c r="Q6" s="3216"/>
      <c r="R6" s="3219"/>
      <c r="S6" s="3220"/>
      <c r="T6" s="3221"/>
      <c r="U6" s="3222"/>
      <c r="V6" s="3202"/>
      <c r="W6" s="3202"/>
      <c r="X6" s="1816"/>
      <c r="Y6" s="3221"/>
      <c r="Z6" s="3222"/>
      <c r="AA6" s="3206"/>
      <c r="AB6" s="3206"/>
      <c r="AC6" s="3266"/>
    </row>
    <row r="7" spans="1:29" s="117" customFormat="1" ht="15.75" thickBot="1">
      <c r="A7" s="408" t="s">
        <v>2553</v>
      </c>
      <c r="B7" s="409"/>
      <c r="C7" s="410">
        <f>'数据-取费表'!B2</f>
        <v>43362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2677"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2557</v>
      </c>
      <c r="Q8" s="3228"/>
      <c r="R8" s="770" t="s">
        <v>17</v>
      </c>
      <c r="S8" s="771">
        <f t="shared" si="0"/>
        <v>0</v>
      </c>
      <c r="T8" s="770" t="s">
        <v>17</v>
      </c>
      <c r="U8" s="771">
        <f t="shared" si="1"/>
        <v>0</v>
      </c>
      <c r="V8" s="770" t="s">
        <v>17</v>
      </c>
      <c r="W8" s="771">
        <f t="shared" si="2"/>
        <v>0</v>
      </c>
      <c r="X8" s="772"/>
      <c r="Y8" s="3227" t="s">
        <v>2557</v>
      </c>
      <c r="Z8" s="3228"/>
      <c r="AA8" s="773" t="e">
        <f t="shared" ref="AA8:AA47" si="3">D8/F8</f>
        <v>#DIV/0!</v>
      </c>
      <c r="AB8" s="773" t="e">
        <f t="shared" ref="AB8:AB47" si="4">D8/H8</f>
        <v>#DIV/0!</v>
      </c>
      <c r="AC8" s="2677"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2677">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77">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7">
        <f t="shared" si="5"/>
        <v>1</v>
      </c>
    </row>
    <row r="15" spans="1:29" ht="71.25">
      <c r="A15" s="440" t="s">
        <v>2564</v>
      </c>
      <c r="B15" s="629" t="s">
        <v>2692</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3" t="s">
        <v>2565</v>
      </c>
      <c r="Q15" s="1813" t="str">
        <f t="shared" si="6"/>
        <v>办公集聚程度</v>
      </c>
      <c r="R15" s="774" t="s">
        <v>17</v>
      </c>
      <c r="S15" s="775">
        <f t="shared" si="0"/>
        <v>100</v>
      </c>
      <c r="T15" s="774" t="s">
        <v>17</v>
      </c>
      <c r="U15" s="775">
        <f t="shared" si="1"/>
        <v>100</v>
      </c>
      <c r="V15" s="774" t="s">
        <v>17</v>
      </c>
      <c r="W15" s="775">
        <f t="shared" si="2"/>
        <v>100</v>
      </c>
      <c r="X15" s="1816"/>
      <c r="Y15" s="3195" t="s">
        <v>2565</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94"/>
      <c r="Q16" s="1813"/>
      <c r="R16" s="774"/>
      <c r="S16" s="775"/>
      <c r="T16" s="774"/>
      <c r="U16" s="775"/>
      <c r="V16" s="774"/>
      <c r="W16" s="775"/>
      <c r="X16" s="1816"/>
      <c r="Y16" s="3196"/>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4"/>
      <c r="Q18" s="1813"/>
      <c r="R18" s="774"/>
      <c r="S18" s="775"/>
      <c r="T18" s="774"/>
      <c r="U18" s="775"/>
      <c r="V18" s="774"/>
      <c r="W18" s="775"/>
      <c r="X18" s="1816"/>
      <c r="Y18" s="3196"/>
      <c r="Z18" s="1817"/>
      <c r="AA18" s="1814">
        <v>1</v>
      </c>
      <c r="AB18" s="1814">
        <v>1</v>
      </c>
      <c r="AC18" s="2680">
        <v>1</v>
      </c>
    </row>
    <row r="19" spans="1:29" ht="42.75">
      <c r="A19" s="428"/>
      <c r="B19" s="631" t="s">
        <v>2693</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4"/>
      <c r="Q20" s="1813"/>
      <c r="R20" s="774"/>
      <c r="S20" s="775"/>
      <c r="T20" s="774"/>
      <c r="U20" s="775"/>
      <c r="V20" s="774"/>
      <c r="W20" s="775"/>
      <c r="X20" s="1816"/>
      <c r="Y20" s="3196"/>
      <c r="Z20" s="1817"/>
      <c r="AA20" s="1814">
        <v>1</v>
      </c>
      <c r="AB20" s="1814">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4"/>
      <c r="Q22" s="1813"/>
      <c r="R22" s="774"/>
      <c r="S22" s="775"/>
      <c r="T22" s="774"/>
      <c r="U22" s="775"/>
      <c r="V22" s="774"/>
      <c r="W22" s="775"/>
      <c r="X22" s="1816"/>
      <c r="Y22" s="3196"/>
      <c r="Z22" s="1817"/>
      <c r="AA22" s="1814">
        <v>1</v>
      </c>
      <c r="AB22" s="1814">
        <v>1</v>
      </c>
      <c r="AC22" s="2680">
        <v>1</v>
      </c>
    </row>
    <row r="23" spans="1:29" ht="42.75">
      <c r="A23" s="428"/>
      <c r="B23" s="631" t="s">
        <v>2695</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4"/>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4"/>
      <c r="Q24" s="1813"/>
      <c r="R24" s="774"/>
      <c r="S24" s="775"/>
      <c r="T24" s="774"/>
      <c r="U24" s="775"/>
      <c r="V24" s="774"/>
      <c r="W24" s="775"/>
      <c r="X24" s="1816"/>
      <c r="Y24" s="3196"/>
      <c r="Z24" s="1817"/>
      <c r="AA24" s="1814">
        <v>1</v>
      </c>
      <c r="AB24" s="1814">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4"/>
      <c r="Q25" s="1813" t="str">
        <f>B25</f>
        <v>毗邻道路的类型与等级</v>
      </c>
      <c r="R25" s="774" t="s">
        <v>17</v>
      </c>
      <c r="S25" s="775">
        <f>F25</f>
        <v>100</v>
      </c>
      <c r="T25" s="774" t="s">
        <v>17</v>
      </c>
      <c r="U25" s="775">
        <f>H25</f>
        <v>100</v>
      </c>
      <c r="V25" s="774" t="s">
        <v>17</v>
      </c>
      <c r="W25" s="775">
        <f>J25</f>
        <v>100</v>
      </c>
      <c r="X25" s="1816"/>
      <c r="Y25" s="319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4"/>
      <c r="Q26" s="1813"/>
      <c r="R26" s="774"/>
      <c r="S26" s="775"/>
      <c r="T26" s="774"/>
      <c r="U26" s="775"/>
      <c r="V26" s="774"/>
      <c r="W26" s="775"/>
      <c r="X26" s="1816"/>
      <c r="Y26" s="3196"/>
      <c r="Z26" s="1817"/>
      <c r="AA26" s="1814">
        <v>1</v>
      </c>
      <c r="AB26" s="1814">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4"/>
      <c r="Q27" s="1813" t="str">
        <f t="shared" ref="Q27:Q47" si="11">B27</f>
        <v>楼层</v>
      </c>
      <c r="R27" s="774" t="s">
        <v>17</v>
      </c>
      <c r="S27" s="775">
        <f>F27</f>
        <v>100</v>
      </c>
      <c r="T27" s="774" t="s">
        <v>17</v>
      </c>
      <c r="U27" s="775">
        <f>H27</f>
        <v>100</v>
      </c>
      <c r="V27" s="774" t="s">
        <v>17</v>
      </c>
      <c r="W27" s="775">
        <f>J27</f>
        <v>100</v>
      </c>
      <c r="X27" s="1816"/>
      <c r="Y27" s="3196"/>
      <c r="Z27" s="1817" t="str">
        <f>Q27</f>
        <v>楼层</v>
      </c>
      <c r="AA27" s="1814">
        <f t="shared" si="3"/>
        <v>1</v>
      </c>
      <c r="AB27" s="1814">
        <f t="shared" si="4"/>
        <v>1</v>
      </c>
      <c r="AC27" s="2680">
        <f t="shared" si="5"/>
        <v>1</v>
      </c>
    </row>
    <row r="28" spans="1:29" s="117" customFormat="1" ht="15">
      <c r="A28" s="431"/>
      <c r="B28" s="631" t="s">
        <v>2697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4"/>
      <c r="Q28" s="1798" t="str">
        <f t="shared" si="11"/>
        <v>朝向</v>
      </c>
      <c r="R28" s="770" t="s">
        <v>17</v>
      </c>
      <c r="S28" s="771">
        <f>F28</f>
        <v>100</v>
      </c>
      <c r="T28" s="770" t="s">
        <v>17</v>
      </c>
      <c r="U28" s="771">
        <f>H28</f>
        <v>100</v>
      </c>
      <c r="V28" s="770" t="s">
        <v>17</v>
      </c>
      <c r="W28" s="771">
        <f>J28</f>
        <v>100</v>
      </c>
      <c r="X28" s="772"/>
      <c r="Y28" s="319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4"/>
      <c r="Q29" s="1813">
        <f t="shared" si="11"/>
        <v>111</v>
      </c>
      <c r="R29" s="774" t="s">
        <v>17</v>
      </c>
      <c r="S29" s="775">
        <f t="shared" ref="S29:S47" si="12">F29</f>
        <v>100</v>
      </c>
      <c r="T29" s="774" t="s">
        <v>17</v>
      </c>
      <c r="U29" s="775">
        <f t="shared" ref="U29:U47" si="13">H29</f>
        <v>100</v>
      </c>
      <c r="V29" s="774" t="s">
        <v>17</v>
      </c>
      <c r="W29" s="775">
        <f t="shared" ref="W29:W47" si="14">J29</f>
        <v>100</v>
      </c>
      <c r="X29" s="1816"/>
      <c r="Y29" s="319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4"/>
      <c r="Q32" s="1813">
        <f t="shared" si="11"/>
        <v>111</v>
      </c>
      <c r="R32" s="774" t="s">
        <v>17</v>
      </c>
      <c r="S32" s="775">
        <f t="shared" si="12"/>
        <v>100</v>
      </c>
      <c r="T32" s="774" t="s">
        <v>17</v>
      </c>
      <c r="U32" s="775">
        <f t="shared" si="13"/>
        <v>100</v>
      </c>
      <c r="V32" s="774" t="s">
        <v>17</v>
      </c>
      <c r="W32" s="775">
        <f t="shared" si="14"/>
        <v>100</v>
      </c>
      <c r="X32" s="1816"/>
      <c r="Y32" s="3196"/>
      <c r="Z32" s="1817">
        <f t="shared" si="15"/>
        <v>111</v>
      </c>
      <c r="AA32" s="1814">
        <f t="shared" si="3"/>
        <v>1</v>
      </c>
      <c r="AB32" s="1814">
        <f t="shared" si="4"/>
        <v>1</v>
      </c>
      <c r="AC32" s="2680">
        <f t="shared" si="5"/>
        <v>1</v>
      </c>
    </row>
    <row r="33" spans="1:29" ht="15">
      <c r="A33" s="440" t="s">
        <v>2568</v>
      </c>
      <c r="B33" s="71" t="s">
        <v>2698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7" t="s">
        <v>2570</v>
      </c>
      <c r="Q33" s="1813" t="str">
        <f t="shared" si="11"/>
        <v>建筑类型</v>
      </c>
      <c r="R33" s="774" t="s">
        <v>17</v>
      </c>
      <c r="S33" s="775">
        <f t="shared" si="12"/>
        <v>100</v>
      </c>
      <c r="T33" s="774" t="s">
        <v>17</v>
      </c>
      <c r="U33" s="775">
        <f t="shared" si="13"/>
        <v>100</v>
      </c>
      <c r="V33" s="774" t="s">
        <v>17</v>
      </c>
      <c r="W33" s="775">
        <f t="shared" si="14"/>
        <v>100</v>
      </c>
      <c r="X33" s="1816"/>
      <c r="Y33" s="3200" t="s">
        <v>2570</v>
      </c>
      <c r="Z33" s="1817" t="str">
        <f t="shared" si="15"/>
        <v>建筑类型</v>
      </c>
      <c r="AA33" s="1814">
        <f t="shared" si="3"/>
        <v>1</v>
      </c>
      <c r="AB33" s="1814">
        <f t="shared" si="4"/>
        <v>1</v>
      </c>
      <c r="AC33" s="2680">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8"/>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4" t="e">
        <f t="shared" si="3"/>
        <v>#N/A</v>
      </c>
      <c r="AB34" s="1814" t="e">
        <f t="shared" si="4"/>
        <v>#N/A</v>
      </c>
      <c r="AC34" s="2680"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8"/>
      <c r="Q35" s="1813" t="str">
        <f t="shared" si="11"/>
        <v>建筑结构</v>
      </c>
      <c r="R35" s="774" t="s">
        <v>17</v>
      </c>
      <c r="S35" s="775">
        <f t="shared" si="12"/>
        <v>100</v>
      </c>
      <c r="T35" s="774" t="s">
        <v>17</v>
      </c>
      <c r="U35" s="775">
        <f t="shared" si="13"/>
        <v>100</v>
      </c>
      <c r="V35" s="774" t="s">
        <v>17</v>
      </c>
      <c r="W35" s="775">
        <f t="shared" si="14"/>
        <v>100</v>
      </c>
      <c r="X35" s="1816"/>
      <c r="Y35" s="3200"/>
      <c r="Z35" s="1817" t="str">
        <f t="shared" si="15"/>
        <v>建筑结构</v>
      </c>
      <c r="AA35" s="1814">
        <f t="shared" si="3"/>
        <v>1</v>
      </c>
      <c r="AB35" s="1814">
        <f t="shared" si="4"/>
        <v>1</v>
      </c>
      <c r="AC35" s="2680">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8"/>
      <c r="Q36" s="1813" t="str">
        <f t="shared" si="11"/>
        <v>公共部分装修</v>
      </c>
      <c r="R36" s="774" t="s">
        <v>17</v>
      </c>
      <c r="S36" s="775">
        <f t="shared" si="12"/>
        <v>100</v>
      </c>
      <c r="T36" s="774" t="s">
        <v>17</v>
      </c>
      <c r="U36" s="775">
        <f t="shared" si="13"/>
        <v>100</v>
      </c>
      <c r="V36" s="774" t="s">
        <v>17</v>
      </c>
      <c r="W36" s="775">
        <f t="shared" si="14"/>
        <v>100</v>
      </c>
      <c r="X36" s="1816"/>
      <c r="Y36" s="3200"/>
      <c r="Z36" s="1817" t="str">
        <f t="shared" si="15"/>
        <v>公共部分装修</v>
      </c>
      <c r="AA36" s="1814">
        <f t="shared" si="3"/>
        <v>1</v>
      </c>
      <c r="AB36" s="1814">
        <f t="shared" si="4"/>
        <v>1</v>
      </c>
      <c r="AC36" s="2680">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8"/>
      <c r="Q37" s="1813" t="str">
        <f t="shared" si="11"/>
        <v>成新度</v>
      </c>
      <c r="R37" s="774" t="s">
        <v>17</v>
      </c>
      <c r="S37" s="775" t="e">
        <f t="shared" si="12"/>
        <v>#N/A</v>
      </c>
      <c r="T37" s="774" t="s">
        <v>17</v>
      </c>
      <c r="U37" s="775" t="e">
        <f t="shared" si="13"/>
        <v>#N/A</v>
      </c>
      <c r="V37" s="774" t="s">
        <v>17</v>
      </c>
      <c r="W37" s="775" t="e">
        <f t="shared" si="14"/>
        <v>#N/A</v>
      </c>
      <c r="X37" s="1816"/>
      <c r="Y37" s="3200"/>
      <c r="Z37" s="1817" t="str">
        <f t="shared" si="15"/>
        <v>成新度</v>
      </c>
      <c r="AA37" s="1814" t="e">
        <f t="shared" si="3"/>
        <v>#N/A</v>
      </c>
      <c r="AB37" s="1814" t="e">
        <f t="shared" si="4"/>
        <v>#N/A</v>
      </c>
      <c r="AC37" s="2680"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8"/>
      <c r="Q38" s="1798"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8" t="s">
        <v>2570</v>
      </c>
      <c r="Q39" s="1813" t="str">
        <f t="shared" si="11"/>
        <v>物业管理</v>
      </c>
      <c r="R39" s="774" t="s">
        <v>17</v>
      </c>
      <c r="S39" s="775">
        <f t="shared" si="12"/>
        <v>100</v>
      </c>
      <c r="T39" s="774" t="s">
        <v>17</v>
      </c>
      <c r="U39" s="775">
        <f t="shared" si="13"/>
        <v>100</v>
      </c>
      <c r="V39" s="774" t="s">
        <v>17</v>
      </c>
      <c r="W39" s="775">
        <f t="shared" si="14"/>
        <v>100</v>
      </c>
      <c r="X39" s="1816"/>
      <c r="Y39" s="3200" t="s">
        <v>2570</v>
      </c>
      <c r="Z39" s="1817" t="str">
        <f t="shared" si="15"/>
        <v>物业管理</v>
      </c>
      <c r="AA39" s="1814">
        <f t="shared" si="3"/>
        <v>1</v>
      </c>
      <c r="AB39" s="1814">
        <f t="shared" si="4"/>
        <v>1</v>
      </c>
      <c r="AC39" s="2680">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8"/>
      <c r="Q40" s="1813" t="str">
        <f t="shared" si="11"/>
        <v>市政基础设施</v>
      </c>
      <c r="R40" s="774" t="s">
        <v>17</v>
      </c>
      <c r="S40" s="775">
        <f t="shared" si="12"/>
        <v>100</v>
      </c>
      <c r="T40" s="774" t="s">
        <v>17</v>
      </c>
      <c r="U40" s="775">
        <f t="shared" si="13"/>
        <v>100</v>
      </c>
      <c r="V40" s="774" t="s">
        <v>17</v>
      </c>
      <c r="W40" s="775">
        <f t="shared" si="14"/>
        <v>100</v>
      </c>
      <c r="X40" s="1816"/>
      <c r="Y40" s="3200"/>
      <c r="Z40" s="1817" t="str">
        <f t="shared" si="15"/>
        <v>市政基础设施</v>
      </c>
      <c r="AA40" s="1814">
        <f t="shared" si="3"/>
        <v>1</v>
      </c>
      <c r="AB40" s="1814">
        <f t="shared" si="4"/>
        <v>1</v>
      </c>
      <c r="AC40" s="2680">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8"/>
      <c r="Q41" s="1813" t="str">
        <f t="shared" si="11"/>
        <v>层高</v>
      </c>
      <c r="R41" s="774" t="s">
        <v>17</v>
      </c>
      <c r="S41" s="775">
        <f t="shared" si="12"/>
        <v>100</v>
      </c>
      <c r="T41" s="774" t="s">
        <v>17</v>
      </c>
      <c r="U41" s="775">
        <f t="shared" si="13"/>
        <v>100</v>
      </c>
      <c r="V41" s="774" t="s">
        <v>17</v>
      </c>
      <c r="W41" s="775">
        <f t="shared" si="14"/>
        <v>100</v>
      </c>
      <c r="X41" s="1816"/>
      <c r="Y41" s="3200"/>
      <c r="Z41" s="1817" t="str">
        <f t="shared" si="15"/>
        <v>层高</v>
      </c>
      <c r="AA41" s="1814">
        <f t="shared" si="3"/>
        <v>1</v>
      </c>
      <c r="AB41" s="1814">
        <f t="shared" si="4"/>
        <v>1</v>
      </c>
      <c r="AC41" s="2680">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8"/>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4">
        <f t="shared" si="3"/>
        <v>1</v>
      </c>
      <c r="AB42" s="1814">
        <f t="shared" si="4"/>
        <v>1</v>
      </c>
      <c r="AC42" s="2680">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8"/>
      <c r="Q43" s="1813" t="str">
        <f t="shared" si="11"/>
        <v>内部装修</v>
      </c>
      <c r="R43" s="774" t="s">
        <v>17</v>
      </c>
      <c r="S43" s="775">
        <f t="shared" si="12"/>
        <v>100</v>
      </c>
      <c r="T43" s="774" t="s">
        <v>17</v>
      </c>
      <c r="U43" s="775">
        <f t="shared" si="13"/>
        <v>100</v>
      </c>
      <c r="V43" s="774" t="s">
        <v>17</v>
      </c>
      <c r="W43" s="775">
        <f t="shared" si="14"/>
        <v>100</v>
      </c>
      <c r="X43" s="1816"/>
      <c r="Y43" s="3200"/>
      <c r="Z43" s="1817" t="str">
        <f t="shared" si="15"/>
        <v>内部装修</v>
      </c>
      <c r="AA43" s="1814">
        <f t="shared" si="3"/>
        <v>1</v>
      </c>
      <c r="AB43" s="1814">
        <f t="shared" si="4"/>
        <v>1</v>
      </c>
      <c r="AC43" s="2680">
        <f t="shared" si="5"/>
        <v>1</v>
      </c>
    </row>
    <row r="44" spans="1:29" ht="15">
      <c r="A44" s="472"/>
      <c r="B44" s="422" t="s">
        <v>2581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8"/>
      <c r="Q44" s="1813" t="str">
        <f t="shared" si="11"/>
        <v>内部装修维护情况</v>
      </c>
      <c r="R44" s="774" t="s">
        <v>17</v>
      </c>
      <c r="S44" s="775">
        <f t="shared" si="12"/>
        <v>100</v>
      </c>
      <c r="T44" s="774" t="s">
        <v>17</v>
      </c>
      <c r="U44" s="775">
        <f t="shared" si="13"/>
        <v>100</v>
      </c>
      <c r="V44" s="774" t="s">
        <v>17</v>
      </c>
      <c r="W44" s="775">
        <f t="shared" si="14"/>
        <v>100</v>
      </c>
      <c r="X44" s="1816"/>
      <c r="Y44" s="3200"/>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8"/>
      <c r="Q45" s="1798">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8"/>
      <c r="Q46" s="1813">
        <f t="shared" si="11"/>
        <v>111</v>
      </c>
      <c r="R46" s="774" t="s">
        <v>17</v>
      </c>
      <c r="S46" s="775">
        <f t="shared" si="12"/>
        <v>100</v>
      </c>
      <c r="T46" s="774" t="s">
        <v>17</v>
      </c>
      <c r="U46" s="775">
        <f t="shared" si="13"/>
        <v>100</v>
      </c>
      <c r="V46" s="774" t="s">
        <v>17</v>
      </c>
      <c r="W46" s="775">
        <f t="shared" si="14"/>
        <v>100</v>
      </c>
      <c r="X46" s="1816"/>
      <c r="Y46" s="3200"/>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9"/>
      <c r="Q47" s="1813">
        <f t="shared" si="11"/>
        <v>111</v>
      </c>
      <c r="R47" s="774" t="s">
        <v>17</v>
      </c>
      <c r="S47" s="775">
        <f t="shared" si="12"/>
        <v>100</v>
      </c>
      <c r="T47" s="774" t="s">
        <v>17</v>
      </c>
      <c r="U47" s="775">
        <f t="shared" si="13"/>
        <v>100</v>
      </c>
      <c r="V47" s="774" t="s">
        <v>17</v>
      </c>
      <c r="W47" s="775">
        <f t="shared" si="14"/>
        <v>100</v>
      </c>
      <c r="X47" s="1816"/>
      <c r="Y47" s="3201"/>
      <c r="Z47" s="1817">
        <f t="shared" si="15"/>
        <v>111</v>
      </c>
      <c r="AA47" s="1814">
        <f t="shared" si="3"/>
        <v>1</v>
      </c>
      <c r="AB47" s="1814">
        <f t="shared" si="4"/>
        <v>1</v>
      </c>
      <c r="AC47" s="2680">
        <f t="shared" si="5"/>
        <v>1</v>
      </c>
    </row>
    <row r="48" spans="1:29" ht="15">
      <c r="A48" s="479" t="s">
        <v>2582</v>
      </c>
      <c r="B48" s="480"/>
      <c r="C48" s="1410" t="s">
        <v>1</v>
      </c>
      <c r="D48" s="1411"/>
      <c r="E48" s="1412"/>
      <c r="F48" s="1413"/>
      <c r="G48" s="1414"/>
      <c r="H48" s="1415"/>
      <c r="I48" s="1412"/>
      <c r="J48" s="485"/>
      <c r="K48" s="783"/>
      <c r="L48" s="1146"/>
      <c r="M48" s="1134"/>
      <c r="N48" s="1134"/>
      <c r="O48" s="1134"/>
      <c r="P48" s="3203"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7"/>
      <c r="Q58" s="504"/>
    </row>
    <row r="59" spans="1:29" s="508" customFormat="1" ht="15">
      <c r="A59" s="505" t="s">
        <v>2553</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2590</v>
      </c>
      <c r="B61" s="516"/>
      <c r="C61" s="517"/>
      <c r="D61" s="518"/>
      <c r="E61" s="518"/>
      <c r="F61" s="518"/>
      <c r="G61" s="518"/>
      <c r="H61" s="518"/>
      <c r="I61" s="518"/>
      <c r="J61" s="518"/>
      <c r="K61" s="518"/>
      <c r="L61" s="518"/>
      <c r="M61" s="519"/>
      <c r="N61" s="518"/>
      <c r="O61" s="519"/>
      <c r="P61" s="2688"/>
      <c r="Q61" s="504"/>
    </row>
    <row r="62" spans="1:29" s="117" customFormat="1" ht="15">
      <c r="A62" s="521" t="s">
        <v>2555</v>
      </c>
      <c r="B62" s="510"/>
      <c r="C62" s="522" t="s">
        <v>2657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2593</v>
      </c>
      <c r="B64" s="528" t="s">
        <v>2559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2568</v>
      </c>
      <c r="B101" s="528" t="s">
        <v>2617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2707</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2"/>
      <c r="D2" s="1127"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25223.160000000011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5" t="s">
        <v>2653</v>
      </c>
      <c r="AC4" s="3204" t="s">
        <v>2654</v>
      </c>
    </row>
    <row r="5" spans="1:29"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5"/>
      <c r="AC5" s="3205"/>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5"/>
      <c r="Q6" s="3216"/>
      <c r="R6" s="3219"/>
      <c r="S6" s="3220"/>
      <c r="T6" s="3221"/>
      <c r="U6" s="3222"/>
      <c r="V6" s="3202"/>
      <c r="W6" s="3202"/>
      <c r="X6" s="1816"/>
      <c r="Y6" s="3221"/>
      <c r="Z6" s="3222"/>
      <c r="AA6" s="3206"/>
      <c r="AB6" s="3206"/>
      <c r="AC6" s="3206"/>
    </row>
    <row r="7" spans="1:29" s="117" customFormat="1" ht="15.75" thickBot="1">
      <c r="A7" s="408" t="s">
        <v>2553</v>
      </c>
      <c r="B7" s="409"/>
      <c r="C7" s="410">
        <f>'数据-取费表'!B2</f>
        <v>43362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2564</v>
      </c>
      <c r="B15" s="69" t="s">
        <v>2708</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5" t="s">
        <v>2565</v>
      </c>
      <c r="Q15" s="1813" t="str">
        <f t="shared" si="6"/>
        <v>产业集聚程度</v>
      </c>
      <c r="R15" s="774" t="s">
        <v>17</v>
      </c>
      <c r="S15" s="775">
        <f t="shared" si="0"/>
        <v>100</v>
      </c>
      <c r="T15" s="774" t="s">
        <v>17</v>
      </c>
      <c r="U15" s="775">
        <f t="shared" si="1"/>
        <v>100</v>
      </c>
      <c r="V15" s="774" t="s">
        <v>17</v>
      </c>
      <c r="W15" s="775">
        <f t="shared" si="2"/>
        <v>100</v>
      </c>
      <c r="X15" s="1816"/>
      <c r="Y15" s="3195"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6"/>
      <c r="Q18" s="1813"/>
      <c r="R18" s="774"/>
      <c r="S18" s="775"/>
      <c r="T18" s="774"/>
      <c r="U18" s="775"/>
      <c r="V18" s="774"/>
      <c r="W18" s="775"/>
      <c r="X18" s="1816"/>
      <c r="Y18" s="3196"/>
      <c r="Z18" s="1817"/>
      <c r="AA18" s="1814">
        <v>1</v>
      </c>
      <c r="AB18" s="1814">
        <v>1</v>
      </c>
      <c r="AC18" s="1814">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6"/>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6"/>
      <c r="Q20" s="1813"/>
      <c r="R20" s="774"/>
      <c r="S20" s="775"/>
      <c r="T20" s="774"/>
      <c r="U20" s="775"/>
      <c r="V20" s="774"/>
      <c r="W20" s="775"/>
      <c r="X20" s="1816"/>
      <c r="Y20" s="3196"/>
      <c r="Z20" s="1817"/>
      <c r="AA20" s="1814">
        <v>1</v>
      </c>
      <c r="AB20" s="1814">
        <v>1</v>
      </c>
      <c r="AC20" s="1814">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6"/>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6"/>
      <c r="Q22" s="1813"/>
      <c r="R22" s="774"/>
      <c r="S22" s="775"/>
      <c r="T22" s="774"/>
      <c r="U22" s="775"/>
      <c r="V22" s="774"/>
      <c r="W22" s="775"/>
      <c r="X22" s="1816"/>
      <c r="Y22" s="3196"/>
      <c r="Z22" s="1817"/>
      <c r="AA22" s="1814">
        <v>1</v>
      </c>
      <c r="AB22" s="1814">
        <v>1</v>
      </c>
      <c r="AC22" s="1814">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6"/>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6"/>
      <c r="Q24" s="1813"/>
      <c r="R24" s="774"/>
      <c r="S24" s="775"/>
      <c r="T24" s="774"/>
      <c r="U24" s="775"/>
      <c r="V24" s="774"/>
      <c r="W24" s="775"/>
      <c r="X24" s="1816"/>
      <c r="Y24" s="319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6"/>
      <c r="Q25" s="1813">
        <f>B25</f>
        <v>111</v>
      </c>
      <c r="R25" s="774" t="s">
        <v>17</v>
      </c>
      <c r="S25" s="775">
        <f>F25</f>
        <v>100</v>
      </c>
      <c r="T25" s="774" t="s">
        <v>17</v>
      </c>
      <c r="U25" s="775">
        <f>H25</f>
        <v>100</v>
      </c>
      <c r="V25" s="774" t="s">
        <v>17</v>
      </c>
      <c r="W25" s="775">
        <f>J25</f>
        <v>100</v>
      </c>
      <c r="X25" s="1816"/>
      <c r="Y25" s="319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6"/>
      <c r="Q26" s="1813">
        <f t="shared" ref="Q26:Q40" si="11">B26</f>
        <v>111</v>
      </c>
      <c r="R26" s="774" t="s">
        <v>17</v>
      </c>
      <c r="S26" s="775">
        <f>F26</f>
        <v>100</v>
      </c>
      <c r="T26" s="774" t="s">
        <v>17</v>
      </c>
      <c r="U26" s="775">
        <f>H26</f>
        <v>100</v>
      </c>
      <c r="V26" s="774" t="s">
        <v>17</v>
      </c>
      <c r="W26" s="775">
        <f>J26</f>
        <v>100</v>
      </c>
      <c r="X26" s="1816"/>
      <c r="Y26" s="319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6"/>
      <c r="Q27" s="1798">
        <f t="shared" si="11"/>
        <v>111</v>
      </c>
      <c r="R27" s="770" t="s">
        <v>17</v>
      </c>
      <c r="S27" s="771">
        <f>F27</f>
        <v>100</v>
      </c>
      <c r="T27" s="770" t="s">
        <v>17</v>
      </c>
      <c r="U27" s="771">
        <f>H27</f>
        <v>100</v>
      </c>
      <c r="V27" s="770" t="s">
        <v>17</v>
      </c>
      <c r="W27" s="771">
        <f>J27</f>
        <v>100</v>
      </c>
      <c r="X27" s="772"/>
      <c r="Y27" s="319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6"/>
      <c r="Q28" s="1813">
        <f t="shared" si="11"/>
        <v>111</v>
      </c>
      <c r="R28" s="774" t="s">
        <v>17</v>
      </c>
      <c r="S28" s="775">
        <f t="shared" ref="S28:S40" si="12">F28</f>
        <v>100</v>
      </c>
      <c r="T28" s="774" t="s">
        <v>17</v>
      </c>
      <c r="U28" s="775">
        <f t="shared" ref="U28:U40" si="13">H28</f>
        <v>100</v>
      </c>
      <c r="V28" s="774" t="s">
        <v>17</v>
      </c>
      <c r="W28" s="775">
        <f t="shared" ref="W28:W40" si="14">J28</f>
        <v>100</v>
      </c>
      <c r="X28" s="1816"/>
      <c r="Y28" s="3196"/>
      <c r="Z28" s="1817">
        <f t="shared" ref="Z28:Z40" si="15">Q28</f>
        <v>111</v>
      </c>
      <c r="AA28" s="1814">
        <f t="shared" si="3"/>
        <v>1</v>
      </c>
      <c r="AB28" s="1814">
        <f t="shared" si="4"/>
        <v>1</v>
      </c>
      <c r="AC28" s="1814">
        <f t="shared" si="5"/>
        <v>1</v>
      </c>
    </row>
    <row r="29" spans="1:29" ht="15">
      <c r="A29" s="466" t="s">
        <v>2568</v>
      </c>
      <c r="B29" s="71" t="s">
        <v>2698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76" t="s">
        <v>2570</v>
      </c>
      <c r="Q29" s="1813" t="str">
        <f t="shared" si="11"/>
        <v>建筑类型</v>
      </c>
      <c r="R29" s="774" t="s">
        <v>17</v>
      </c>
      <c r="S29" s="775">
        <f t="shared" si="12"/>
        <v>100</v>
      </c>
      <c r="T29" s="774" t="s">
        <v>17</v>
      </c>
      <c r="U29" s="775">
        <f t="shared" si="13"/>
        <v>100</v>
      </c>
      <c r="V29" s="774" t="s">
        <v>17</v>
      </c>
      <c r="W29" s="775">
        <f t="shared" si="14"/>
        <v>100</v>
      </c>
      <c r="X29" s="1816"/>
      <c r="Y29" s="3200"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3" t="str">
        <f t="shared" si="11"/>
        <v>建筑结构</v>
      </c>
      <c r="R31" s="774" t="s">
        <v>17</v>
      </c>
      <c r="S31" s="775">
        <f t="shared" si="12"/>
        <v>100</v>
      </c>
      <c r="T31" s="774" t="s">
        <v>17</v>
      </c>
      <c r="U31" s="775">
        <f t="shared" si="13"/>
        <v>100</v>
      </c>
      <c r="V31" s="774" t="s">
        <v>17</v>
      </c>
      <c r="W31" s="775">
        <f t="shared" si="14"/>
        <v>100</v>
      </c>
      <c r="X31" s="1816"/>
      <c r="Y31" s="3200"/>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3" t="str">
        <f t="shared" si="11"/>
        <v>公共部分装修</v>
      </c>
      <c r="R32" s="774" t="s">
        <v>17</v>
      </c>
      <c r="S32" s="775">
        <f t="shared" si="12"/>
        <v>100</v>
      </c>
      <c r="T32" s="774" t="s">
        <v>17</v>
      </c>
      <c r="U32" s="775">
        <f t="shared" si="13"/>
        <v>100</v>
      </c>
      <c r="V32" s="774" t="s">
        <v>17</v>
      </c>
      <c r="W32" s="775">
        <f t="shared" si="14"/>
        <v>100</v>
      </c>
      <c r="X32" s="1816"/>
      <c r="Y32" s="3200"/>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3" t="str">
        <f t="shared" si="11"/>
        <v>成新度</v>
      </c>
      <c r="R33" s="774" t="s">
        <v>17</v>
      </c>
      <c r="S33" s="775" t="e">
        <f t="shared" si="12"/>
        <v>#N/A</v>
      </c>
      <c r="T33" s="774" t="s">
        <v>17</v>
      </c>
      <c r="U33" s="775" t="e">
        <f t="shared" si="13"/>
        <v>#N/A</v>
      </c>
      <c r="V33" s="774" t="s">
        <v>17</v>
      </c>
      <c r="W33" s="775" t="e">
        <f t="shared" si="14"/>
        <v>#N/A</v>
      </c>
      <c r="X33" s="1816"/>
      <c r="Y33" s="3200"/>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8"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2570</v>
      </c>
      <c r="Q35" s="1813" t="str">
        <f t="shared" si="11"/>
        <v>市政基础设施</v>
      </c>
      <c r="R35" s="774" t="s">
        <v>17</v>
      </c>
      <c r="S35" s="775">
        <f t="shared" si="12"/>
        <v>100</v>
      </c>
      <c r="T35" s="774" t="s">
        <v>17</v>
      </c>
      <c r="U35" s="775">
        <f t="shared" si="13"/>
        <v>100</v>
      </c>
      <c r="V35" s="774" t="s">
        <v>17</v>
      </c>
      <c r="W35" s="775">
        <f t="shared" si="14"/>
        <v>100</v>
      </c>
      <c r="X35" s="1816"/>
      <c r="Y35" s="3200"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3" t="str">
        <f t="shared" si="11"/>
        <v>内部装修</v>
      </c>
      <c r="R36" s="774" t="s">
        <v>17</v>
      </c>
      <c r="S36" s="775">
        <f t="shared" si="12"/>
        <v>100</v>
      </c>
      <c r="T36" s="774" t="s">
        <v>17</v>
      </c>
      <c r="U36" s="775">
        <f t="shared" si="13"/>
        <v>100</v>
      </c>
      <c r="V36" s="774" t="s">
        <v>17</v>
      </c>
      <c r="W36" s="775">
        <f t="shared" si="14"/>
        <v>100</v>
      </c>
      <c r="X36" s="1816"/>
      <c r="Y36" s="3200"/>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3" t="str">
        <f t="shared" si="11"/>
        <v>内部装修状况</v>
      </c>
      <c r="R37" s="774" t="s">
        <v>17</v>
      </c>
      <c r="S37" s="775">
        <f t="shared" si="12"/>
        <v>100</v>
      </c>
      <c r="T37" s="774" t="s">
        <v>17</v>
      </c>
      <c r="U37" s="775">
        <f t="shared" si="13"/>
        <v>100</v>
      </c>
      <c r="V37" s="774" t="s">
        <v>17</v>
      </c>
      <c r="W37" s="775">
        <f t="shared" si="14"/>
        <v>100</v>
      </c>
      <c r="X37" s="1816"/>
      <c r="Y37" s="320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3">
        <f t="shared" si="11"/>
        <v>111</v>
      </c>
      <c r="R39" s="774" t="s">
        <v>17</v>
      </c>
      <c r="S39" s="775">
        <f t="shared" si="12"/>
        <v>100</v>
      </c>
      <c r="T39" s="774" t="s">
        <v>17</v>
      </c>
      <c r="U39" s="775">
        <f t="shared" si="13"/>
        <v>100</v>
      </c>
      <c r="V39" s="774" t="s">
        <v>17</v>
      </c>
      <c r="W39" s="775">
        <f t="shared" si="14"/>
        <v>100</v>
      </c>
      <c r="X39" s="1816"/>
      <c r="Y39" s="3200"/>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1"/>
      <c r="Q40" s="1813">
        <f t="shared" si="11"/>
        <v>111</v>
      </c>
      <c r="R40" s="774" t="s">
        <v>17</v>
      </c>
      <c r="S40" s="775">
        <f t="shared" si="12"/>
        <v>100</v>
      </c>
      <c r="T40" s="774" t="s">
        <v>17</v>
      </c>
      <c r="U40" s="775">
        <f t="shared" si="13"/>
        <v>100</v>
      </c>
      <c r="V40" s="774" t="s">
        <v>17</v>
      </c>
      <c r="W40" s="775">
        <f t="shared" si="14"/>
        <v>100</v>
      </c>
      <c r="X40" s="1816"/>
      <c r="Y40" s="3201"/>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192" t="e">
        <f>IF(F1="售价",ROUND(AVERAGE(R42:V42),0),ROUND(AVERAGE(R42:V42),1))</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受贵公司委托，我公司对天津市进行了预评估。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估价对象为天津市房地产，为所有。根据《国有土地使用证》[]，估价对象（分摊）出让国有建设用地使用权面积为0平方米，建筑面积为25223.16平方米。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估价对象为天津市房地产,属开发建设的，该项目尚在开发建设中。根据《国有土地使用证》[]，估价对象（分摊）出让国有建设用地使用权面积为0平方米，规划建筑面积为25223.16平方米。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2018年9月19日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0"/>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5" t="s">
        <v>2653</v>
      </c>
      <c r="AC4" s="3204" t="s">
        <v>2654</v>
      </c>
    </row>
    <row r="5" spans="1:29"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5"/>
      <c r="AC5" s="3205"/>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5"/>
      <c r="Q6" s="3216"/>
      <c r="R6" s="3219"/>
      <c r="S6" s="3220"/>
      <c r="T6" s="3221"/>
      <c r="U6" s="3222"/>
      <c r="V6" s="3202"/>
      <c r="W6" s="3202"/>
      <c r="X6" s="1816"/>
      <c r="Y6" s="3221"/>
      <c r="Z6" s="3222"/>
      <c r="AA6" s="3206"/>
      <c r="AB6" s="3206"/>
      <c r="AC6" s="3206"/>
    </row>
    <row r="7" spans="1:29" s="117" customFormat="1" ht="15.75" thickBot="1">
      <c r="A7" s="408" t="s">
        <v>2553</v>
      </c>
      <c r="B7" s="409"/>
      <c r="C7" s="410">
        <f>'数据-取费表'!B2</f>
        <v>43362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2560</v>
      </c>
      <c r="Q9" s="1798" t="str">
        <f t="shared" ref="Q9:Q14" si="6">B9</f>
        <v>用途</v>
      </c>
      <c r="R9" s="770" t="s">
        <v>17</v>
      </c>
      <c r="S9" s="771">
        <f t="shared" si="0"/>
        <v>100</v>
      </c>
      <c r="T9" s="770" t="s">
        <v>17</v>
      </c>
      <c r="U9" s="771">
        <f t="shared" si="1"/>
        <v>100</v>
      </c>
      <c r="V9" s="770" t="s">
        <v>17</v>
      </c>
      <c r="W9" s="771">
        <f t="shared" si="2"/>
        <v>100</v>
      </c>
      <c r="X9" s="772"/>
      <c r="Y9" s="3043"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01" t="s">
        <v>2564</v>
      </c>
      <c r="B14" s="629" t="s">
        <v>2714</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5" t="s">
        <v>2565</v>
      </c>
      <c r="Q14" s="1813" t="str">
        <f t="shared" si="6"/>
        <v>交通便捷度</v>
      </c>
      <c r="R14" s="774" t="s">
        <v>17</v>
      </c>
      <c r="S14" s="775">
        <f t="shared" si="0"/>
        <v>100</v>
      </c>
      <c r="T14" s="774" t="s">
        <v>17</v>
      </c>
      <c r="U14" s="775">
        <f t="shared" si="1"/>
        <v>100</v>
      </c>
      <c r="V14" s="774" t="s">
        <v>17</v>
      </c>
      <c r="W14" s="775">
        <f t="shared" si="2"/>
        <v>100</v>
      </c>
      <c r="X14" s="1816"/>
      <c r="Y14" s="3195"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6"/>
      <c r="Q15" s="1813"/>
      <c r="R15" s="774"/>
      <c r="S15" s="775"/>
      <c r="T15" s="774"/>
      <c r="U15" s="775"/>
      <c r="V15" s="774"/>
      <c r="W15" s="775"/>
      <c r="X15" s="1816"/>
      <c r="Y15" s="3196"/>
      <c r="Z15" s="1817"/>
      <c r="AA15" s="1814">
        <v>1</v>
      </c>
      <c r="AB15" s="1814">
        <v>1</v>
      </c>
      <c r="AC15" s="1814">
        <v>1</v>
      </c>
    </row>
    <row r="16" spans="1:29" ht="42.75">
      <c r="A16" s="404"/>
      <c r="B16" s="631" t="s">
        <v>2693</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6"/>
      <c r="Q17" s="1813"/>
      <c r="R17" s="774"/>
      <c r="S17" s="775"/>
      <c r="T17" s="774"/>
      <c r="U17" s="775"/>
      <c r="V17" s="774"/>
      <c r="W17" s="775"/>
      <c r="X17" s="1816"/>
      <c r="Y17" s="3196"/>
      <c r="Z17" s="1817"/>
      <c r="AA17" s="1814">
        <v>1</v>
      </c>
      <c r="AB17" s="1814">
        <v>1</v>
      </c>
      <c r="AC17" s="1814">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6"/>
      <c r="Q19" s="1813"/>
      <c r="R19" s="774"/>
      <c r="S19" s="775"/>
      <c r="T19" s="774"/>
      <c r="U19" s="775"/>
      <c r="V19" s="774"/>
      <c r="W19" s="775"/>
      <c r="X19" s="1816"/>
      <c r="Y19" s="3196"/>
      <c r="Z19" s="1817"/>
      <c r="AA19" s="1814">
        <v>1</v>
      </c>
      <c r="AB19" s="1814">
        <v>1</v>
      </c>
      <c r="AC19" s="1814">
        <v>1</v>
      </c>
    </row>
    <row r="20" spans="1:29" ht="57">
      <c r="A20" s="404"/>
      <c r="B20" s="631" t="s">
        <v>2715</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6"/>
      <c r="Q21" s="1813"/>
      <c r="R21" s="774"/>
      <c r="S21" s="775"/>
      <c r="T21" s="774"/>
      <c r="U21" s="775"/>
      <c r="V21" s="774"/>
      <c r="W21" s="775"/>
      <c r="X21" s="1816"/>
      <c r="Y21" s="3196"/>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6"/>
      <c r="Q24" s="1813">
        <f t="shared" ref="Q24:Q36"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652" t="s">
        <v>2568</v>
      </c>
      <c r="B26" s="70" t="s">
        <v>2717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0"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3" t="str">
        <f t="shared" si="11"/>
        <v>公共部分装修</v>
      </c>
      <c r="R28" s="774" t="s">
        <v>17</v>
      </c>
      <c r="S28" s="775">
        <f t="shared" si="12"/>
        <v>100</v>
      </c>
      <c r="T28" s="774" t="s">
        <v>17</v>
      </c>
      <c r="U28" s="775">
        <f t="shared" si="13"/>
        <v>100</v>
      </c>
      <c r="V28" s="774" t="s">
        <v>17</v>
      </c>
      <c r="W28" s="775">
        <f t="shared" si="14"/>
        <v>100</v>
      </c>
      <c r="X28" s="1816"/>
      <c r="Y28" s="3200"/>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3" t="str">
        <f t="shared" si="11"/>
        <v>成新率</v>
      </c>
      <c r="R29" s="774" t="s">
        <v>17</v>
      </c>
      <c r="S29" s="775" t="e">
        <f t="shared" si="12"/>
        <v>#N/A</v>
      </c>
      <c r="T29" s="774" t="s">
        <v>17</v>
      </c>
      <c r="U29" s="775" t="e">
        <f t="shared" si="13"/>
        <v>#N/A</v>
      </c>
      <c r="V29" s="774" t="s">
        <v>17</v>
      </c>
      <c r="W29" s="775" t="e">
        <f t="shared" si="14"/>
        <v>#N/A</v>
      </c>
      <c r="X29" s="1816"/>
      <c r="Y29" s="3200"/>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3" t="str">
        <f t="shared" si="11"/>
        <v>物业等级</v>
      </c>
      <c r="R30" s="774" t="s">
        <v>17</v>
      </c>
      <c r="S30" s="775">
        <f t="shared" si="12"/>
        <v>100</v>
      </c>
      <c r="T30" s="774" t="s">
        <v>17</v>
      </c>
      <c r="U30" s="775">
        <f t="shared" si="13"/>
        <v>100</v>
      </c>
      <c r="V30" s="774" t="s">
        <v>17</v>
      </c>
      <c r="W30" s="775">
        <f t="shared" si="14"/>
        <v>100</v>
      </c>
      <c r="X30" s="1816"/>
      <c r="Y30" s="3200"/>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8"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2570</v>
      </c>
      <c r="Q32" s="1813" t="str">
        <f t="shared" si="11"/>
        <v>车位类型</v>
      </c>
      <c r="R32" s="774" t="s">
        <v>17</v>
      </c>
      <c r="S32" s="775">
        <f t="shared" si="12"/>
        <v>100</v>
      </c>
      <c r="T32" s="774" t="s">
        <v>17</v>
      </c>
      <c r="U32" s="775">
        <f t="shared" si="13"/>
        <v>100</v>
      </c>
      <c r="V32" s="774" t="s">
        <v>17</v>
      </c>
      <c r="W32" s="775">
        <f t="shared" si="14"/>
        <v>100</v>
      </c>
      <c r="X32" s="1816"/>
      <c r="Y32" s="3200"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3" t="str">
        <f t="shared" si="11"/>
        <v>是否直接入户</v>
      </c>
      <c r="R33" s="774" t="s">
        <v>17</v>
      </c>
      <c r="S33" s="775">
        <f t="shared" si="12"/>
        <v>100</v>
      </c>
      <c r="T33" s="774" t="s">
        <v>17</v>
      </c>
      <c r="U33" s="775">
        <f t="shared" si="13"/>
        <v>100</v>
      </c>
      <c r="V33" s="774" t="s">
        <v>17</v>
      </c>
      <c r="W33" s="775">
        <f t="shared" si="14"/>
        <v>100</v>
      </c>
      <c r="X33" s="1816"/>
      <c r="Y33" s="320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3">
        <f t="shared" si="11"/>
        <v>111</v>
      </c>
      <c r="R36" s="774" t="s">
        <v>17</v>
      </c>
      <c r="S36" s="775">
        <f t="shared" si="12"/>
        <v>100</v>
      </c>
      <c r="T36" s="774" t="s">
        <v>17</v>
      </c>
      <c r="U36" s="775">
        <f t="shared" si="13"/>
        <v>100</v>
      </c>
      <c r="V36" s="774" t="s">
        <v>17</v>
      </c>
      <c r="W36" s="775">
        <f t="shared" si="14"/>
        <v>100</v>
      </c>
      <c r="X36" s="1816"/>
      <c r="Y36" s="3200"/>
      <c r="Z36" s="1817">
        <f t="shared" si="15"/>
        <v>111</v>
      </c>
      <c r="AA36" s="1814">
        <f t="shared" si="3"/>
        <v>1</v>
      </c>
      <c r="AB36" s="1814">
        <f t="shared" si="4"/>
        <v>1</v>
      </c>
      <c r="AC36" s="1814">
        <f t="shared" si="5"/>
        <v>1</v>
      </c>
    </row>
    <row r="37" spans="1:29" ht="15">
      <c r="A37" s="479" t="s">
        <v>2725</v>
      </c>
      <c r="B37" s="2701" t="s">
        <v>2726</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192" t="e">
        <f>IF(F1="售价",ROUND(AVERAGE(R38:V38),0),ROUND(AVERAGE(R38:V38),1))</f>
        <v>#DIV/0!</v>
      </c>
      <c r="S39" s="3192"/>
      <c r="T39" s="3192"/>
      <c r="U39" s="3192"/>
      <c r="V39" s="3192"/>
      <c r="W39" s="319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5" t="s">
        <v>2653</v>
      </c>
      <c r="AC4" s="3204" t="s">
        <v>2654</v>
      </c>
    </row>
    <row r="5" spans="1:29"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5"/>
      <c r="AC5" s="3205"/>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5"/>
      <c r="Q6" s="3216"/>
      <c r="R6" s="3219"/>
      <c r="S6" s="3220"/>
      <c r="T6" s="3221"/>
      <c r="U6" s="3222"/>
      <c r="V6" s="3202"/>
      <c r="W6" s="3202"/>
      <c r="X6" s="1816"/>
      <c r="Y6" s="3221"/>
      <c r="Z6" s="3222"/>
      <c r="AA6" s="3206"/>
      <c r="AB6" s="3206"/>
      <c r="AC6" s="3206"/>
    </row>
    <row r="7" spans="1:29" s="117" customFormat="1" ht="15.75" thickBot="1">
      <c r="A7" s="408" t="s">
        <v>2553</v>
      </c>
      <c r="B7" s="409"/>
      <c r="C7" s="410">
        <f>'数据-取费表'!B2</f>
        <v>43362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2560</v>
      </c>
      <c r="Q9" s="1798" t="str">
        <f t="shared" ref="Q9:Q14" si="6">B9</f>
        <v>用途</v>
      </c>
      <c r="R9" s="770" t="s">
        <v>17</v>
      </c>
      <c r="S9" s="771">
        <f t="shared" si="0"/>
        <v>100</v>
      </c>
      <c r="T9" s="770" t="s">
        <v>17</v>
      </c>
      <c r="U9" s="771">
        <f t="shared" si="1"/>
        <v>100</v>
      </c>
      <c r="V9" s="770" t="s">
        <v>17</v>
      </c>
      <c r="W9" s="771">
        <f t="shared" si="2"/>
        <v>100</v>
      </c>
      <c r="X9" s="772"/>
      <c r="Y9" s="3043"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40" t="s">
        <v>2564</v>
      </c>
      <c r="B14" s="69" t="s">
        <v>2714</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5" t="s">
        <v>2565</v>
      </c>
      <c r="Q14" s="1813" t="str">
        <f t="shared" si="6"/>
        <v>交通便捷度</v>
      </c>
      <c r="R14" s="774" t="s">
        <v>17</v>
      </c>
      <c r="S14" s="775">
        <f t="shared" si="0"/>
        <v>100</v>
      </c>
      <c r="T14" s="774" t="s">
        <v>17</v>
      </c>
      <c r="U14" s="775">
        <f t="shared" si="1"/>
        <v>100</v>
      </c>
      <c r="V14" s="774" t="s">
        <v>17</v>
      </c>
      <c r="W14" s="775">
        <f t="shared" si="2"/>
        <v>100</v>
      </c>
      <c r="X14" s="1816"/>
      <c r="Y14" s="3195"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6"/>
      <c r="Q15" s="1813"/>
      <c r="R15" s="774"/>
      <c r="S15" s="775"/>
      <c r="T15" s="774"/>
      <c r="U15" s="775"/>
      <c r="V15" s="774"/>
      <c r="W15" s="775"/>
      <c r="X15" s="1816"/>
      <c r="Y15" s="3196"/>
      <c r="Z15" s="1817"/>
      <c r="AA15" s="1814">
        <v>1</v>
      </c>
      <c r="AB15" s="1814">
        <v>1</v>
      </c>
      <c r="AC15" s="1814">
        <v>1</v>
      </c>
    </row>
    <row r="16" spans="1:29" ht="42.75">
      <c r="A16" s="428"/>
      <c r="B16" s="451" t="s">
        <v>2693</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6"/>
      <c r="Q17" s="1813"/>
      <c r="R17" s="774"/>
      <c r="S17" s="775"/>
      <c r="T17" s="774"/>
      <c r="U17" s="775"/>
      <c r="V17" s="774"/>
      <c r="W17" s="775"/>
      <c r="X17" s="1816"/>
      <c r="Y17" s="3196"/>
      <c r="Z17" s="1817"/>
      <c r="AA17" s="1814">
        <v>1</v>
      </c>
      <c r="AB17" s="1814">
        <v>1</v>
      </c>
      <c r="AC17" s="1814">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6"/>
      <c r="Q19" s="1813"/>
      <c r="R19" s="774"/>
      <c r="S19" s="775"/>
      <c r="T19" s="774"/>
      <c r="U19" s="775"/>
      <c r="V19" s="774"/>
      <c r="W19" s="775"/>
      <c r="X19" s="1816"/>
      <c r="Y19" s="3196"/>
      <c r="Z19" s="1817"/>
      <c r="AA19" s="1814">
        <v>1</v>
      </c>
      <c r="AB19" s="1814">
        <v>1</v>
      </c>
      <c r="AC19" s="1814">
        <v>1</v>
      </c>
    </row>
    <row r="20" spans="1:29" ht="57">
      <c r="A20" s="428"/>
      <c r="B20" s="451" t="s">
        <v>2715</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6"/>
      <c r="Q21" s="1813"/>
      <c r="R21" s="774"/>
      <c r="S21" s="775"/>
      <c r="T21" s="774"/>
      <c r="U21" s="775"/>
      <c r="V21" s="774"/>
      <c r="W21" s="775"/>
      <c r="X21" s="1816"/>
      <c r="Y21" s="3196"/>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6"/>
      <c r="Q24" s="1813">
        <f t="shared" ref="Q24:Q34"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466" t="s">
        <v>2568</v>
      </c>
      <c r="B26" s="71" t="s">
        <v>2719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76"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0"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3" t="str">
        <f t="shared" si="11"/>
        <v>物业等级</v>
      </c>
      <c r="R28" s="774" t="s">
        <v>17</v>
      </c>
      <c r="S28" s="775">
        <f t="shared" si="12"/>
        <v>100</v>
      </c>
      <c r="T28" s="774" t="s">
        <v>17</v>
      </c>
      <c r="U28" s="775">
        <f t="shared" si="13"/>
        <v>100</v>
      </c>
      <c r="V28" s="774" t="s">
        <v>17</v>
      </c>
      <c r="W28" s="775">
        <f t="shared" si="14"/>
        <v>100</v>
      </c>
      <c r="X28" s="1816"/>
      <c r="Y28" s="3200"/>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3" t="str">
        <f t="shared" si="11"/>
        <v>有无电梯</v>
      </c>
      <c r="R29" s="774" t="s">
        <v>17</v>
      </c>
      <c r="S29" s="775">
        <f t="shared" si="12"/>
        <v>100</v>
      </c>
      <c r="T29" s="774" t="s">
        <v>17</v>
      </c>
      <c r="U29" s="775">
        <f t="shared" si="13"/>
        <v>100</v>
      </c>
      <c r="V29" s="774" t="s">
        <v>17</v>
      </c>
      <c r="W29" s="775">
        <f t="shared" si="14"/>
        <v>100</v>
      </c>
      <c r="X29" s="1816"/>
      <c r="Y29" s="3200"/>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3" t="str">
        <f t="shared" si="11"/>
        <v>建筑面积</v>
      </c>
      <c r="R30" s="774" t="s">
        <v>17</v>
      </c>
      <c r="S30" s="775" t="e">
        <f t="shared" si="12"/>
        <v>#N/A</v>
      </c>
      <c r="T30" s="774" t="s">
        <v>17</v>
      </c>
      <c r="U30" s="775" t="e">
        <f t="shared" si="13"/>
        <v>#N/A</v>
      </c>
      <c r="V30" s="774" t="s">
        <v>17</v>
      </c>
      <c r="W30" s="775" t="e">
        <f t="shared" si="14"/>
        <v>#N/A</v>
      </c>
      <c r="X30" s="1816"/>
      <c r="Y30" s="3200"/>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8"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2570</v>
      </c>
      <c r="Q32" s="1813">
        <f t="shared" si="11"/>
        <v>111</v>
      </c>
      <c r="R32" s="774" t="s">
        <v>17</v>
      </c>
      <c r="S32" s="775">
        <f t="shared" si="12"/>
        <v>100</v>
      </c>
      <c r="T32" s="774" t="s">
        <v>17</v>
      </c>
      <c r="U32" s="775">
        <f t="shared" si="13"/>
        <v>100</v>
      </c>
      <c r="V32" s="774" t="s">
        <v>17</v>
      </c>
      <c r="W32" s="775">
        <f t="shared" si="14"/>
        <v>100</v>
      </c>
      <c r="X32" s="1816"/>
      <c r="Y32" s="3200" t="s">
        <v>2570</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3">
        <f t="shared" si="11"/>
        <v>111</v>
      </c>
      <c r="R33" s="774" t="s">
        <v>17</v>
      </c>
      <c r="S33" s="775">
        <f t="shared" si="12"/>
        <v>100</v>
      </c>
      <c r="T33" s="774" t="s">
        <v>17</v>
      </c>
      <c r="U33" s="775">
        <f t="shared" si="13"/>
        <v>100</v>
      </c>
      <c r="V33" s="774" t="s">
        <v>17</v>
      </c>
      <c r="W33" s="775">
        <f t="shared" si="14"/>
        <v>100</v>
      </c>
      <c r="X33" s="1816"/>
      <c r="Y33" s="3200"/>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192" t="e">
        <f>IF(F1="售价",ROUND(AVERAGE(R36:V36),0),ROUND(AVERAGE(R36:V36),1))</f>
        <v>#DIV/0!</v>
      </c>
      <c r="S37" s="3192"/>
      <c r="T37" s="3192"/>
      <c r="U37" s="3192"/>
      <c r="V37" s="3192"/>
      <c r="W37" s="319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5" t="s">
        <v>2653</v>
      </c>
      <c r="AC4" s="3204" t="s">
        <v>2654</v>
      </c>
    </row>
    <row r="5" spans="1:30"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5"/>
      <c r="AC5" s="3205"/>
    </row>
    <row r="6" spans="1:30" ht="15.75" thickBot="1">
      <c r="A6" s="406"/>
      <c r="B6" s="407"/>
      <c r="C6" s="3223" t="s">
        <v>2551</v>
      </c>
      <c r="D6" s="3224"/>
      <c r="E6" s="3230" t="s">
        <v>2551</v>
      </c>
      <c r="F6" s="3231"/>
      <c r="G6" s="3223" t="s">
        <v>2551</v>
      </c>
      <c r="H6" s="3224"/>
      <c r="I6" s="3223" t="s">
        <v>2551</v>
      </c>
      <c r="J6" s="3224"/>
      <c r="K6" s="610" t="s">
        <v>2552</v>
      </c>
      <c r="L6" s="1133"/>
      <c r="M6" s="1134"/>
      <c r="N6" s="1134"/>
      <c r="O6" s="1134"/>
      <c r="P6" s="3215"/>
      <c r="Q6" s="3216"/>
      <c r="R6" s="3219"/>
      <c r="S6" s="3220"/>
      <c r="T6" s="3221"/>
      <c r="U6" s="3222"/>
      <c r="V6" s="3202"/>
      <c r="W6" s="3202"/>
      <c r="X6" s="1816"/>
      <c r="Y6" s="3221"/>
      <c r="Z6" s="3222"/>
      <c r="AA6" s="3206"/>
      <c r="AB6" s="3206"/>
      <c r="AC6" s="3206"/>
    </row>
    <row r="7" spans="1:30" s="117" customFormat="1" ht="15.75" thickBot="1">
      <c r="A7" s="408" t="s">
        <v>2553</v>
      </c>
      <c r="B7" s="409"/>
      <c r="C7" s="410">
        <f>'数据-取费表'!B2</f>
        <v>43362</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5" si="3">D8/F8</f>
        <v>#DIV/0!</v>
      </c>
      <c r="AB8" s="773" t="e">
        <f t="shared" ref="AB8:AB45" si="4">D8/H8</f>
        <v>#DIV/0!</v>
      </c>
      <c r="AC8" s="773" t="e">
        <f t="shared" ref="AC8:AC45" si="5">D8/J8</f>
        <v>#DIV/0!</v>
      </c>
    </row>
    <row r="9" spans="1:30" s="117" customFormat="1">
      <c r="A9" s="415" t="s">
        <v>2558</v>
      </c>
      <c r="B9" s="71" t="s">
        <v>2559</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8"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88"/>
      <c r="Q10" s="1798" t="str">
        <f t="shared" si="6"/>
        <v>土地使用年限（年）</v>
      </c>
      <c r="R10" s="770" t="s">
        <v>17</v>
      </c>
      <c r="S10" s="771">
        <f t="shared" si="0"/>
        <v>111</v>
      </c>
      <c r="T10" s="770" t="s">
        <v>17</v>
      </c>
      <c r="U10" s="771">
        <f t="shared" si="1"/>
        <v>111</v>
      </c>
      <c r="V10" s="770" t="s">
        <v>17</v>
      </c>
      <c r="W10" s="771">
        <f t="shared" si="2"/>
        <v>111</v>
      </c>
      <c r="X10" s="772"/>
      <c r="Y10" s="3043"/>
      <c r="Z10" s="55" t="str">
        <f t="shared" si="7"/>
        <v>土地使用年限（年）</v>
      </c>
      <c r="AA10" s="773">
        <f t="shared" si="3"/>
        <v>0.90090090090090091</v>
      </c>
      <c r="AB10" s="773">
        <f t="shared" si="4"/>
        <v>0.90090090090090091</v>
      </c>
      <c r="AC10" s="773">
        <f t="shared" si="5"/>
        <v>0.90090090090090091</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8"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2564</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5" t="s">
        <v>2565</v>
      </c>
      <c r="Q15" s="1813" t="str">
        <f t="shared" si="6"/>
        <v>居住社区成熟度</v>
      </c>
      <c r="R15" s="774" t="s">
        <v>17</v>
      </c>
      <c r="S15" s="775">
        <f t="shared" si="0"/>
        <v>100</v>
      </c>
      <c r="T15" s="774" t="s">
        <v>17</v>
      </c>
      <c r="U15" s="775">
        <f t="shared" si="1"/>
        <v>100</v>
      </c>
      <c r="V15" s="774" t="s">
        <v>17</v>
      </c>
      <c r="W15" s="775">
        <f t="shared" si="2"/>
        <v>100</v>
      </c>
      <c r="X15" s="1816"/>
      <c r="Y15" s="3195" t="s">
        <v>2565</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71.25">
      <c r="A17" s="428"/>
      <c r="B17" s="451" t="s">
        <v>2658</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6"/>
      <c r="Q17" s="1813" t="str">
        <f>B17</f>
        <v>商业繁华度</v>
      </c>
      <c r="R17" s="774" t="s">
        <v>17</v>
      </c>
      <c r="S17" s="775">
        <f>F17</f>
        <v>100</v>
      </c>
      <c r="T17" s="774" t="s">
        <v>17</v>
      </c>
      <c r="U17" s="775">
        <f>H17</f>
        <v>100</v>
      </c>
      <c r="V17" s="774" t="s">
        <v>17</v>
      </c>
      <c r="W17" s="775">
        <f>J17</f>
        <v>100</v>
      </c>
      <c r="X17" s="1816"/>
      <c r="Y17" s="319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6"/>
      <c r="Q19" s="1813" t="str">
        <f>B19</f>
        <v>办公集聚程度</v>
      </c>
      <c r="R19" s="774" t="s">
        <v>17</v>
      </c>
      <c r="S19" s="775">
        <f>F19</f>
        <v>100</v>
      </c>
      <c r="T19" s="774" t="s">
        <v>17</v>
      </c>
      <c r="U19" s="775">
        <f>H19</f>
        <v>100</v>
      </c>
      <c r="V19" s="774" t="s">
        <v>17</v>
      </c>
      <c r="W19" s="775">
        <f>J19</f>
        <v>100</v>
      </c>
      <c r="X19" s="1816"/>
      <c r="Y19" s="319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6"/>
      <c r="Q20" s="1813"/>
      <c r="R20" s="774"/>
      <c r="S20" s="775"/>
      <c r="T20" s="774"/>
      <c r="U20" s="775"/>
      <c r="V20" s="774"/>
      <c r="W20" s="775"/>
      <c r="X20" s="1816"/>
      <c r="Y20" s="3196"/>
      <c r="Z20" s="1817"/>
      <c r="AA20" s="1814">
        <v>1</v>
      </c>
      <c r="AB20" s="1814">
        <v>1</v>
      </c>
      <c r="AC20" s="1814">
        <v>1</v>
      </c>
    </row>
    <row r="21" spans="1:29" ht="85.5">
      <c r="A21" s="428"/>
      <c r="B21" s="451" t="s">
        <v>2714</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6"/>
      <c r="Q21" s="1813" t="str">
        <f>B21</f>
        <v>交通便捷度</v>
      </c>
      <c r="R21" s="774" t="s">
        <v>17</v>
      </c>
      <c r="S21" s="775">
        <f>F21</f>
        <v>100</v>
      </c>
      <c r="T21" s="774" t="s">
        <v>17</v>
      </c>
      <c r="U21" s="775">
        <f>H21</f>
        <v>100</v>
      </c>
      <c r="V21" s="774" t="s">
        <v>17</v>
      </c>
      <c r="W21" s="775">
        <f>J21</f>
        <v>100</v>
      </c>
      <c r="X21" s="1816"/>
      <c r="Y21" s="319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6"/>
      <c r="Q23" s="1813" t="str">
        <f t="shared" ref="Q23:Q37" si="8">B23</f>
        <v>区域土地利用方向</v>
      </c>
      <c r="R23" s="774" t="s">
        <v>17</v>
      </c>
      <c r="S23" s="775">
        <f>F23</f>
        <v>100</v>
      </c>
      <c r="T23" s="774" t="s">
        <v>17</v>
      </c>
      <c r="U23" s="775">
        <f>H23</f>
        <v>100</v>
      </c>
      <c r="V23" s="774" t="s">
        <v>17</v>
      </c>
      <c r="W23" s="775">
        <f>J23</f>
        <v>100</v>
      </c>
      <c r="X23" s="1816"/>
      <c r="Y23" s="319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6"/>
      <c r="Q24" s="1813"/>
      <c r="R24" s="774"/>
      <c r="S24" s="775"/>
      <c r="T24" s="774"/>
      <c r="U24" s="775"/>
      <c r="V24" s="774"/>
      <c r="W24" s="775"/>
      <c r="X24" s="1816"/>
      <c r="Y24" s="3196"/>
      <c r="Z24" s="1817"/>
      <c r="AA24" s="1814"/>
      <c r="AB24" s="1814"/>
      <c r="AC24" s="1814"/>
    </row>
    <row r="25" spans="1:29" ht="57">
      <c r="A25" s="404"/>
      <c r="B25" s="1387" t="s">
        <v>2754</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6"/>
      <c r="Q25" s="1813" t="str">
        <f t="shared" si="8"/>
        <v>自然及人文环境状况</v>
      </c>
      <c r="R25" s="774" t="s">
        <v>17</v>
      </c>
      <c r="S25" s="775">
        <f>F25</f>
        <v>100</v>
      </c>
      <c r="T25" s="774" t="s">
        <v>17</v>
      </c>
      <c r="U25" s="775">
        <f>H25</f>
        <v>100</v>
      </c>
      <c r="V25" s="774" t="s">
        <v>17</v>
      </c>
      <c r="W25" s="775">
        <f>J25</f>
        <v>100</v>
      </c>
      <c r="X25" s="1816"/>
      <c r="Y25" s="319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6"/>
      <c r="Q26" s="1813"/>
      <c r="R26" s="774"/>
      <c r="S26" s="775"/>
      <c r="T26" s="774"/>
      <c r="U26" s="775"/>
      <c r="V26" s="774"/>
      <c r="W26" s="775"/>
      <c r="X26" s="1816"/>
      <c r="Y26" s="3196"/>
      <c r="Z26" s="1817"/>
      <c r="AA26" s="1814">
        <v>1</v>
      </c>
      <c r="AB26" s="1814">
        <v>1</v>
      </c>
      <c r="AC26" s="1814">
        <v>1</v>
      </c>
    </row>
    <row r="27" spans="1:29" s="117" customFormat="1" ht="42.75">
      <c r="A27" s="649"/>
      <c r="B27" s="1387" t="s">
        <v>2659</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6"/>
      <c r="Q27" s="1798" t="str">
        <f t="shared" si="8"/>
        <v>公共配套设施</v>
      </c>
      <c r="R27" s="770" t="s">
        <v>17</v>
      </c>
      <c r="S27" s="771">
        <f>F27</f>
        <v>100</v>
      </c>
      <c r="T27" s="770" t="s">
        <v>17</v>
      </c>
      <c r="U27" s="771">
        <f>H27</f>
        <v>100</v>
      </c>
      <c r="V27" s="770" t="s">
        <v>17</v>
      </c>
      <c r="W27" s="771">
        <f>J27</f>
        <v>100</v>
      </c>
      <c r="X27" s="772"/>
      <c r="Y27" s="319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96"/>
      <c r="Q28" s="1798"/>
      <c r="R28" s="770"/>
      <c r="S28" s="771"/>
      <c r="T28" s="770"/>
      <c r="U28" s="771"/>
      <c r="V28" s="770"/>
      <c r="W28" s="771"/>
      <c r="X28" s="772"/>
      <c r="Y28" s="3196"/>
      <c r="Z28" s="55"/>
      <c r="AA28" s="1814">
        <v>1</v>
      </c>
      <c r="AB28" s="1814">
        <v>1</v>
      </c>
      <c r="AC28" s="1814">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6"/>
      <c r="Q29" s="1798" t="str">
        <f t="shared" ref="Q29" si="9">B29</f>
        <v>基础设施水平</v>
      </c>
      <c r="R29" s="770" t="s">
        <v>17</v>
      </c>
      <c r="S29" s="771">
        <f>F29</f>
        <v>100</v>
      </c>
      <c r="T29" s="770" t="s">
        <v>17</v>
      </c>
      <c r="U29" s="771">
        <f>H29</f>
        <v>100</v>
      </c>
      <c r="V29" s="770" t="s">
        <v>17</v>
      </c>
      <c r="W29" s="771">
        <f>J29</f>
        <v>100</v>
      </c>
      <c r="X29" s="772"/>
      <c r="Y29" s="319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96"/>
      <c r="Q30" s="1798"/>
      <c r="R30" s="770"/>
      <c r="S30" s="771"/>
      <c r="T30" s="770"/>
      <c r="U30" s="771"/>
      <c r="V30" s="770"/>
      <c r="W30" s="771"/>
      <c r="X30" s="772"/>
      <c r="Y30" s="3196"/>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6"/>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6"/>
      <c r="Q32" s="1813" t="str">
        <f t="shared" si="8"/>
        <v>毗邻道路的类型与等级</v>
      </c>
      <c r="R32" s="774" t="s">
        <v>17</v>
      </c>
      <c r="S32" s="775">
        <f t="shared" si="10"/>
        <v>100</v>
      </c>
      <c r="T32" s="774" t="s">
        <v>17</v>
      </c>
      <c r="U32" s="775">
        <f t="shared" si="11"/>
        <v>100</v>
      </c>
      <c r="V32" s="774" t="s">
        <v>17</v>
      </c>
      <c r="W32" s="775">
        <f t="shared" si="12"/>
        <v>100</v>
      </c>
      <c r="X32" s="1816"/>
      <c r="Y32" s="319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6"/>
      <c r="Q33" s="1813"/>
      <c r="R33" s="774"/>
      <c r="S33" s="775"/>
      <c r="T33" s="774"/>
      <c r="U33" s="775"/>
      <c r="V33" s="774"/>
      <c r="W33" s="775"/>
      <c r="X33" s="1816"/>
      <c r="Y33" s="3196"/>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6"/>
      <c r="Q34" s="1813" t="str">
        <f t="shared" si="8"/>
        <v>土地级别</v>
      </c>
      <c r="R34" s="774" t="s">
        <v>17</v>
      </c>
      <c r="S34" s="775">
        <f t="shared" si="10"/>
        <v>100</v>
      </c>
      <c r="T34" s="774" t="s">
        <v>17</v>
      </c>
      <c r="U34" s="775">
        <f t="shared" si="11"/>
        <v>100</v>
      </c>
      <c r="V34" s="774" t="s">
        <v>17</v>
      </c>
      <c r="W34" s="775">
        <f t="shared" si="12"/>
        <v>100</v>
      </c>
      <c r="X34" s="1816"/>
      <c r="Y34" s="319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6"/>
      <c r="Q35" s="1813">
        <f t="shared" si="8"/>
        <v>111</v>
      </c>
      <c r="R35" s="774" t="s">
        <v>17</v>
      </c>
      <c r="S35" s="775">
        <f t="shared" si="10"/>
        <v>100</v>
      </c>
      <c r="T35" s="774" t="s">
        <v>17</v>
      </c>
      <c r="U35" s="775">
        <f t="shared" si="11"/>
        <v>100</v>
      </c>
      <c r="V35" s="774" t="s">
        <v>17</v>
      </c>
      <c r="W35" s="775">
        <f t="shared" si="12"/>
        <v>100</v>
      </c>
      <c r="X35" s="1816"/>
      <c r="Y35" s="319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2570</v>
      </c>
      <c r="Q36" s="1813">
        <f t="shared" si="8"/>
        <v>111</v>
      </c>
      <c r="R36" s="774" t="s">
        <v>17</v>
      </c>
      <c r="S36" s="775">
        <f t="shared" si="10"/>
        <v>100</v>
      </c>
      <c r="T36" s="774" t="s">
        <v>17</v>
      </c>
      <c r="U36" s="775">
        <f t="shared" si="11"/>
        <v>100</v>
      </c>
      <c r="V36" s="774" t="s">
        <v>17</v>
      </c>
      <c r="W36" s="775">
        <f t="shared" si="12"/>
        <v>100</v>
      </c>
      <c r="X36" s="1816"/>
      <c r="Y36" s="3200"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3">
        <f t="shared" si="8"/>
        <v>111</v>
      </c>
      <c r="R37" s="777" t="s">
        <v>17</v>
      </c>
      <c r="S37" s="778">
        <f t="shared" si="10"/>
        <v>100</v>
      </c>
      <c r="T37" s="777" t="s">
        <v>17</v>
      </c>
      <c r="U37" s="778">
        <f t="shared" si="11"/>
        <v>100</v>
      </c>
      <c r="V37" s="777" t="s">
        <v>17</v>
      </c>
      <c r="W37" s="778">
        <f t="shared" si="12"/>
        <v>100</v>
      </c>
      <c r="X37" s="779"/>
      <c r="Y37" s="3200"/>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0"/>
      <c r="Q38" s="1813" t="str">
        <f>B38</f>
        <v>宗地面积</v>
      </c>
      <c r="R38" s="774" t="s">
        <v>17</v>
      </c>
      <c r="S38" s="775" t="e">
        <f t="shared" si="10"/>
        <v>#N/A</v>
      </c>
      <c r="T38" s="774" t="s">
        <v>17</v>
      </c>
      <c r="U38" s="775" t="e">
        <f t="shared" si="11"/>
        <v>#N/A</v>
      </c>
      <c r="V38" s="774" t="s">
        <v>17</v>
      </c>
      <c r="W38" s="775" t="e">
        <f t="shared" si="12"/>
        <v>#N/A</v>
      </c>
      <c r="X38" s="1816"/>
      <c r="Y38" s="3200"/>
      <c r="Z38" s="1817" t="str">
        <f t="shared" si="13"/>
        <v>宗地面积</v>
      </c>
      <c r="AA38" s="1814" t="e">
        <f t="shared" si="3"/>
        <v>#N/A</v>
      </c>
      <c r="AB38" s="1814" t="e">
        <f t="shared" si="4"/>
        <v>#N/A</v>
      </c>
      <c r="AC38" s="1814" t="e">
        <f t="shared" si="5"/>
        <v>#N/A</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0"/>
      <c r="Q39" s="1813" t="str">
        <f t="shared" ref="Q39:Q45" si="14">B39</f>
        <v>宗地形状</v>
      </c>
      <c r="R39" s="774" t="s">
        <v>17</v>
      </c>
      <c r="S39" s="775">
        <f t="shared" si="10"/>
        <v>100</v>
      </c>
      <c r="T39" s="774" t="s">
        <v>17</v>
      </c>
      <c r="U39" s="775">
        <f t="shared" si="11"/>
        <v>100</v>
      </c>
      <c r="V39" s="774" t="s">
        <v>17</v>
      </c>
      <c r="W39" s="775">
        <f t="shared" si="12"/>
        <v>100</v>
      </c>
      <c r="X39" s="1816"/>
      <c r="Y39" s="3200"/>
      <c r="Z39" s="1817" t="str">
        <f t="shared" si="13"/>
        <v>宗地形状</v>
      </c>
      <c r="AA39" s="1814">
        <f t="shared" si="3"/>
        <v>1</v>
      </c>
      <c r="AB39" s="1814">
        <f t="shared" si="4"/>
        <v>1</v>
      </c>
      <c r="AC39" s="1814">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0"/>
      <c r="Q40" s="1813" t="str">
        <f t="shared" si="14"/>
        <v>临街宽度及深度</v>
      </c>
      <c r="R40" s="774" t="s">
        <v>17</v>
      </c>
      <c r="S40" s="775">
        <f t="shared" si="10"/>
        <v>100</v>
      </c>
      <c r="T40" s="774" t="s">
        <v>17</v>
      </c>
      <c r="U40" s="775">
        <f t="shared" si="11"/>
        <v>100</v>
      </c>
      <c r="V40" s="774" t="s">
        <v>17</v>
      </c>
      <c r="W40" s="775">
        <f t="shared" si="12"/>
        <v>100</v>
      </c>
      <c r="X40" s="1816"/>
      <c r="Y40" s="3200"/>
      <c r="Z40" s="1817" t="str">
        <f t="shared" si="13"/>
        <v>临街宽度及深度</v>
      </c>
      <c r="AA40" s="1814">
        <f t="shared" si="3"/>
        <v>1</v>
      </c>
      <c r="AB40" s="1814">
        <f t="shared" si="4"/>
        <v>1</v>
      </c>
      <c r="AC40" s="1814">
        <f t="shared" si="5"/>
        <v>1</v>
      </c>
    </row>
    <row r="41" spans="1:29" s="117" customFormat="1" ht="15">
      <c r="A41" s="473"/>
      <c r="B41" s="422" t="s">
        <v>2759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0"/>
      <c r="Q41" s="1813"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0" t="s">
        <v>2570</v>
      </c>
      <c r="Q42" s="1813" t="str">
        <f t="shared" si="14"/>
        <v>工程地质条件</v>
      </c>
      <c r="R42" s="774" t="s">
        <v>17</v>
      </c>
      <c r="S42" s="775">
        <f t="shared" si="10"/>
        <v>100</v>
      </c>
      <c r="T42" s="774" t="s">
        <v>17</v>
      </c>
      <c r="U42" s="775">
        <f t="shared" si="11"/>
        <v>100</v>
      </c>
      <c r="V42" s="774" t="s">
        <v>17</v>
      </c>
      <c r="W42" s="775">
        <f t="shared" si="12"/>
        <v>100</v>
      </c>
      <c r="X42" s="1816"/>
      <c r="Y42" s="3200"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3">
        <f t="shared" si="14"/>
        <v>111</v>
      </c>
      <c r="R43" s="774" t="s">
        <v>17</v>
      </c>
      <c r="S43" s="775">
        <f t="shared" si="10"/>
        <v>100</v>
      </c>
      <c r="T43" s="774" t="s">
        <v>17</v>
      </c>
      <c r="U43" s="775">
        <f t="shared" si="11"/>
        <v>100</v>
      </c>
      <c r="V43" s="774" t="s">
        <v>17</v>
      </c>
      <c r="W43" s="775">
        <f t="shared" si="12"/>
        <v>100</v>
      </c>
      <c r="X43" s="1816"/>
      <c r="Y43" s="320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3">
        <f t="shared" si="14"/>
        <v>111</v>
      </c>
      <c r="R44" s="774" t="s">
        <v>17</v>
      </c>
      <c r="S44" s="775">
        <f t="shared" si="10"/>
        <v>100</v>
      </c>
      <c r="T44" s="774" t="s">
        <v>17</v>
      </c>
      <c r="U44" s="775">
        <f t="shared" si="11"/>
        <v>100</v>
      </c>
      <c r="V44" s="774" t="s">
        <v>17</v>
      </c>
      <c r="W44" s="775">
        <f t="shared" si="12"/>
        <v>100</v>
      </c>
      <c r="X44" s="1816"/>
      <c r="Y44" s="3200"/>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3">
        <f t="shared" si="14"/>
        <v>111</v>
      </c>
      <c r="R45" s="777" t="s">
        <v>17</v>
      </c>
      <c r="S45" s="778">
        <f t="shared" si="10"/>
        <v>100</v>
      </c>
      <c r="T45" s="777" t="s">
        <v>17</v>
      </c>
      <c r="U45" s="778">
        <f t="shared" si="11"/>
        <v>100</v>
      </c>
      <c r="V45" s="777" t="s">
        <v>17</v>
      </c>
      <c r="W45" s="778">
        <f t="shared" si="12"/>
        <v>100</v>
      </c>
      <c r="X45" s="779"/>
      <c r="Y45" s="3200"/>
      <c r="Z45" s="780">
        <f t="shared" si="13"/>
        <v>111</v>
      </c>
      <c r="AA45" s="1814">
        <f t="shared" si="3"/>
        <v>1</v>
      </c>
      <c r="AB45" s="1814">
        <f t="shared" si="4"/>
        <v>1</v>
      </c>
      <c r="AC45" s="1814">
        <f t="shared" si="5"/>
        <v>1</v>
      </c>
    </row>
    <row r="46" spans="1:29" ht="15">
      <c r="A46" s="479" t="s">
        <v>2725</v>
      </c>
      <c r="B46" s="2710" t="s">
        <v>2761</v>
      </c>
      <c r="C46" s="682" t="s">
        <v>1</v>
      </c>
      <c r="D46" s="481"/>
      <c r="E46" s="482"/>
      <c r="F46" s="483"/>
      <c r="G46" s="484"/>
      <c r="H46" s="485"/>
      <c r="I46" s="482"/>
      <c r="J46" s="485"/>
      <c r="K46" s="783"/>
      <c r="L46" s="1146"/>
      <c r="M46" s="1147"/>
      <c r="N46" s="1134"/>
      <c r="O46" s="1147"/>
      <c r="P46" s="3188" t="str">
        <f>A46</f>
        <v>成交单价</v>
      </c>
      <c r="Q46" s="3188"/>
      <c r="R46" s="3202">
        <f>E46</f>
        <v>0</v>
      </c>
      <c r="S46" s="3202"/>
      <c r="T46" s="3202">
        <f>G46</f>
        <v>0</v>
      </c>
      <c r="U46" s="3202"/>
      <c r="V46" s="3202">
        <f>I46</f>
        <v>0</v>
      </c>
      <c r="W46" s="3202"/>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88" t="str">
        <f>A47</f>
        <v>比较价值（元/平方米）</v>
      </c>
      <c r="Q47" s="318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90" t="str">
        <f>A48</f>
        <v>估价对象XX用房的比较价值（楼面单价，元/平方米）</v>
      </c>
      <c r="Q48" s="3191"/>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1" t="s">
        <v>2765</v>
      </c>
      <c r="D55" s="2712" t="s">
        <v>2766</v>
      </c>
      <c r="E55" s="686" t="s">
        <v>2767</v>
      </c>
      <c r="F55" s="1110" t="s">
        <v>2768</v>
      </c>
      <c r="G55" s="3207" t="s">
        <v>2769</v>
      </c>
      <c r="H55" s="3279"/>
      <c r="I55" s="144" t="s">
        <v>2770</v>
      </c>
      <c r="J55" s="2713" t="str">
        <f>项目基本情况!F35</f>
        <v>天津市</v>
      </c>
      <c r="K55" s="2714" t="s">
        <v>2771</v>
      </c>
      <c r="L55" s="1109"/>
      <c r="M55" s="1147"/>
      <c r="N55" s="1147"/>
      <c r="O55" s="1147"/>
    </row>
    <row r="56" spans="1:15" s="692" customFormat="1">
      <c r="A56" s="688" t="s">
        <v>2772</v>
      </c>
      <c r="B56" s="689" t="e">
        <f>C48</f>
        <v>#DIV/0!</v>
      </c>
      <c r="C56" s="690">
        <v>1</v>
      </c>
      <c r="D56" s="1166">
        <v>1</v>
      </c>
      <c r="E56" s="690">
        <f>'数据-汇总表'!E8+'数据-汇总表'!E9</f>
        <v>25223.160000000011</v>
      </c>
      <c r="F56" s="1106" t="e">
        <f t="shared" ref="F56:F65" si="15">ROUND(B56*E56/10000,0)</f>
        <v>#DIV/0!</v>
      </c>
      <c r="G56" s="3203"/>
      <c r="H56" s="3188"/>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80"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5"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5"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6"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25223.160000000011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7" t="s">
        <v>2787</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2788</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7" t="s">
        <v>2651</v>
      </c>
      <c r="D4" s="3208"/>
      <c r="E4" s="3209" t="s">
        <v>2652</v>
      </c>
      <c r="F4" s="3210"/>
      <c r="G4" s="3207" t="s">
        <v>2653</v>
      </c>
      <c r="H4" s="3208"/>
      <c r="I4" s="3207" t="s">
        <v>2654</v>
      </c>
      <c r="J4" s="3208"/>
      <c r="K4" s="610" t="s">
        <v>2655</v>
      </c>
      <c r="L4" s="1133"/>
      <c r="M4" s="1134"/>
      <c r="N4" s="1134"/>
      <c r="O4" s="1134"/>
      <c r="P4" s="3211" t="s">
        <v>2656</v>
      </c>
      <c r="Q4" s="3212"/>
      <c r="R4" s="3217" t="s">
        <v>2652</v>
      </c>
      <c r="S4" s="3218"/>
      <c r="T4" s="3217" t="s">
        <v>2653</v>
      </c>
      <c r="U4" s="3218"/>
      <c r="V4" s="3202" t="s">
        <v>2654</v>
      </c>
      <c r="W4" s="3202"/>
      <c r="X4" s="1816"/>
      <c r="Y4" s="3217" t="s">
        <v>2656</v>
      </c>
      <c r="Z4" s="3218"/>
      <c r="AA4" s="3204" t="s">
        <v>2652</v>
      </c>
      <c r="AB4" s="3205" t="s">
        <v>2653</v>
      </c>
      <c r="AC4" s="3204" t="s">
        <v>2654</v>
      </c>
    </row>
    <row r="5" spans="1:29" ht="15">
      <c r="A5" s="404"/>
      <c r="B5" s="405"/>
      <c r="C5" s="3225" t="s">
        <v>2547</v>
      </c>
      <c r="D5" s="3226"/>
      <c r="E5" s="3232" t="s">
        <v>2548</v>
      </c>
      <c r="F5" s="3233"/>
      <c r="G5" s="3225" t="s">
        <v>2549</v>
      </c>
      <c r="H5" s="3226"/>
      <c r="I5" s="3225" t="s">
        <v>2550</v>
      </c>
      <c r="J5" s="3226"/>
      <c r="K5" s="610"/>
      <c r="L5" s="1133"/>
      <c r="M5" s="1134"/>
      <c r="N5" s="1134"/>
      <c r="O5" s="1134"/>
      <c r="P5" s="3213"/>
      <c r="Q5" s="3214"/>
      <c r="R5" s="3219"/>
      <c r="S5" s="3220"/>
      <c r="T5" s="3219"/>
      <c r="U5" s="3220"/>
      <c r="V5" s="3202"/>
      <c r="W5" s="3202"/>
      <c r="X5" s="1816"/>
      <c r="Y5" s="3219"/>
      <c r="Z5" s="3220"/>
      <c r="AA5" s="3205"/>
      <c r="AB5" s="3205"/>
      <c r="AC5" s="3205"/>
    </row>
    <row r="6" spans="1:29" ht="15.75" thickBot="1">
      <c r="A6" s="406"/>
      <c r="B6" s="407"/>
      <c r="C6" s="3281" t="s">
        <v>2802</v>
      </c>
      <c r="D6" s="3282"/>
      <c r="E6" s="3283" t="s">
        <v>2802</v>
      </c>
      <c r="F6" s="3284"/>
      <c r="G6" s="3281" t="s">
        <v>2802</v>
      </c>
      <c r="H6" s="3282"/>
      <c r="I6" s="3281" t="s">
        <v>2802</v>
      </c>
      <c r="J6" s="3282"/>
      <c r="K6" s="610" t="s">
        <v>2552</v>
      </c>
      <c r="L6" s="1133"/>
      <c r="M6" s="1134"/>
      <c r="N6" s="1134"/>
      <c r="O6" s="1134"/>
      <c r="P6" s="3215"/>
      <c r="Q6" s="3216"/>
      <c r="R6" s="3219"/>
      <c r="S6" s="3220"/>
      <c r="T6" s="3221"/>
      <c r="U6" s="3222"/>
      <c r="V6" s="3202"/>
      <c r="W6" s="3202"/>
      <c r="X6" s="1816"/>
      <c r="Y6" s="3221"/>
      <c r="Z6" s="3222"/>
      <c r="AA6" s="3206"/>
      <c r="AB6" s="3206"/>
      <c r="AC6" s="3206"/>
    </row>
    <row r="7" spans="1:29" s="117" customFormat="1" ht="15.75" thickBot="1">
      <c r="A7" s="408" t="s">
        <v>2553</v>
      </c>
      <c r="B7" s="409"/>
      <c r="C7" s="410">
        <f>'数据-取费表'!B2</f>
        <v>43362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8" t="s">
        <v>2560</v>
      </c>
      <c r="Q9" s="1798" t="str">
        <f t="shared" ref="Q9:Q15" si="6">B9</f>
        <v>用途</v>
      </c>
      <c r="R9" s="770" t="s">
        <v>17</v>
      </c>
      <c r="S9" s="771">
        <f t="shared" si="0"/>
        <v>100</v>
      </c>
      <c r="T9" s="770" t="s">
        <v>17</v>
      </c>
      <c r="U9" s="771">
        <f t="shared" si="1"/>
        <v>100</v>
      </c>
      <c r="V9" s="770" t="s">
        <v>17</v>
      </c>
      <c r="W9" s="771">
        <f t="shared" si="2"/>
        <v>100</v>
      </c>
      <c r="X9" s="772"/>
      <c r="Y9" s="3043"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8"/>
      <c r="Q10" s="1798" t="str">
        <f t="shared" si="6"/>
        <v>土地使用年限（年）</v>
      </c>
      <c r="R10" s="770" t="s">
        <v>17</v>
      </c>
      <c r="S10" s="771">
        <f t="shared" si="0"/>
        <v>111</v>
      </c>
      <c r="T10" s="770" t="s">
        <v>17</v>
      </c>
      <c r="U10" s="771">
        <f t="shared" si="1"/>
        <v>111</v>
      </c>
      <c r="V10" s="770" t="s">
        <v>17</v>
      </c>
      <c r="W10" s="771">
        <f t="shared" si="2"/>
        <v>111</v>
      </c>
      <c r="X10" s="772"/>
      <c r="Y10" s="3043"/>
      <c r="Z10" s="55" t="str">
        <f t="shared" si="7"/>
        <v>土地使用年限（年）</v>
      </c>
      <c r="AA10" s="773">
        <f t="shared" si="3"/>
        <v>0.90090090090090091</v>
      </c>
      <c r="AB10" s="773">
        <f t="shared" si="4"/>
        <v>0.90090090090090091</v>
      </c>
      <c r="AC10" s="773">
        <f t="shared" si="5"/>
        <v>0.90090090090090091</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2564</v>
      </c>
      <c r="B15" s="629" t="s">
        <v>2803</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5" t="s">
        <v>2565</v>
      </c>
      <c r="Q15" s="1813" t="str">
        <f t="shared" si="6"/>
        <v>产业集聚程度</v>
      </c>
      <c r="R15" s="774" t="s">
        <v>17</v>
      </c>
      <c r="S15" s="775">
        <f t="shared" si="0"/>
        <v>100</v>
      </c>
      <c r="T15" s="774" t="s">
        <v>17</v>
      </c>
      <c r="U15" s="775">
        <f t="shared" si="1"/>
        <v>100</v>
      </c>
      <c r="V15" s="774" t="s">
        <v>17</v>
      </c>
      <c r="W15" s="775">
        <f t="shared" si="2"/>
        <v>100</v>
      </c>
      <c r="X15" s="1816"/>
      <c r="Y15" s="3195" t="s">
        <v>2565</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6"/>
      <c r="Q19" s="1813" t="str">
        <f t="shared" ref="Q19:Q33" si="8">B19</f>
        <v>区域土地利用方向</v>
      </c>
      <c r="R19" s="774" t="s">
        <v>17</v>
      </c>
      <c r="S19" s="775">
        <f>F19</f>
        <v>100</v>
      </c>
      <c r="T19" s="774" t="s">
        <v>17</v>
      </c>
      <c r="U19" s="775">
        <f>H19</f>
        <v>100</v>
      </c>
      <c r="V19" s="774" t="s">
        <v>17</v>
      </c>
      <c r="W19" s="775">
        <f>J19</f>
        <v>100</v>
      </c>
      <c r="X19" s="1816"/>
      <c r="Y19" s="319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6"/>
      <c r="Q20" s="1813"/>
      <c r="R20" s="774"/>
      <c r="S20" s="775"/>
      <c r="T20" s="774"/>
      <c r="U20" s="775"/>
      <c r="V20" s="774"/>
      <c r="W20" s="775"/>
      <c r="X20" s="1816"/>
      <c r="Y20" s="3196"/>
      <c r="Z20" s="1817"/>
      <c r="AA20" s="1814"/>
      <c r="AB20" s="1814"/>
      <c r="AC20" s="1814"/>
    </row>
    <row r="21" spans="1:29" ht="71.25">
      <c r="A21" s="404"/>
      <c r="B21" s="631" t="s">
        <v>2804</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6"/>
      <c r="Q21" s="1813" t="str">
        <f t="shared" si="8"/>
        <v>环境状况</v>
      </c>
      <c r="R21" s="774" t="s">
        <v>17</v>
      </c>
      <c r="S21" s="775">
        <f>F21</f>
        <v>100</v>
      </c>
      <c r="T21" s="774" t="s">
        <v>17</v>
      </c>
      <c r="U21" s="775">
        <f>H21</f>
        <v>100</v>
      </c>
      <c r="V21" s="774" t="s">
        <v>17</v>
      </c>
      <c r="W21" s="775">
        <f>J21</f>
        <v>100</v>
      </c>
      <c r="X21" s="1816"/>
      <c r="Y21" s="319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6"/>
      <c r="Q23" s="1798" t="str">
        <f t="shared" si="8"/>
        <v>公共配套设施</v>
      </c>
      <c r="R23" s="770" t="s">
        <v>17</v>
      </c>
      <c r="S23" s="771">
        <f>F23</f>
        <v>100</v>
      </c>
      <c r="T23" s="770" t="s">
        <v>17</v>
      </c>
      <c r="U23" s="771">
        <f>H23</f>
        <v>100</v>
      </c>
      <c r="V23" s="770" t="s">
        <v>17</v>
      </c>
      <c r="W23" s="771">
        <f>J23</f>
        <v>100</v>
      </c>
      <c r="X23" s="772"/>
      <c r="Y23" s="319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6"/>
      <c r="Q24" s="1798"/>
      <c r="R24" s="770"/>
      <c r="S24" s="771"/>
      <c r="T24" s="770"/>
      <c r="U24" s="771"/>
      <c r="V24" s="770"/>
      <c r="W24" s="771"/>
      <c r="X24" s="772"/>
      <c r="Y24" s="3196"/>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6"/>
      <c r="Q25" s="1798" t="str">
        <f t="shared" ref="Q25" si="9">B25</f>
        <v>基础设施水平</v>
      </c>
      <c r="R25" s="770" t="s">
        <v>17</v>
      </c>
      <c r="S25" s="771">
        <f>F25</f>
        <v>100</v>
      </c>
      <c r="T25" s="770" t="s">
        <v>17</v>
      </c>
      <c r="U25" s="771">
        <f>H25</f>
        <v>100</v>
      </c>
      <c r="V25" s="770" t="s">
        <v>17</v>
      </c>
      <c r="W25" s="771">
        <f>J25</f>
        <v>100</v>
      </c>
      <c r="X25" s="772"/>
      <c r="Y25" s="319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6"/>
      <c r="Q26" s="1798"/>
      <c r="R26" s="770"/>
      <c r="S26" s="771"/>
      <c r="T26" s="770"/>
      <c r="U26" s="771"/>
      <c r="V26" s="770"/>
      <c r="W26" s="771"/>
      <c r="X26" s="772"/>
      <c r="Y26" s="319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6"/>
      <c r="Z27" s="1817" t="str">
        <f t="shared" ref="Z27:Z40" si="13">Q27</f>
        <v>临街状况</v>
      </c>
      <c r="AA27" s="1814">
        <f t="shared" si="3"/>
        <v>1</v>
      </c>
      <c r="AB27" s="1814">
        <f t="shared" si="4"/>
        <v>1</v>
      </c>
      <c r="AC27" s="1814">
        <f t="shared" si="5"/>
        <v>1</v>
      </c>
    </row>
    <row r="28" spans="1:29" ht="27">
      <c r="A28" s="428"/>
      <c r="B28" s="633" t="s">
        <v>2696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6"/>
      <c r="Q28" s="1813" t="str">
        <f t="shared" si="8"/>
        <v>毗邻道路的类型与等级</v>
      </c>
      <c r="R28" s="774" t="s">
        <v>17</v>
      </c>
      <c r="S28" s="775">
        <f t="shared" si="10"/>
        <v>100</v>
      </c>
      <c r="T28" s="774" t="s">
        <v>17</v>
      </c>
      <c r="U28" s="775">
        <f t="shared" si="11"/>
        <v>100</v>
      </c>
      <c r="V28" s="774" t="s">
        <v>17</v>
      </c>
      <c r="W28" s="775">
        <f t="shared" si="12"/>
        <v>100</v>
      </c>
      <c r="X28" s="1816"/>
      <c r="Y28" s="319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6"/>
      <c r="Q29" s="1813"/>
      <c r="R29" s="774"/>
      <c r="S29" s="775"/>
      <c r="T29" s="774"/>
      <c r="U29" s="775"/>
      <c r="V29" s="774"/>
      <c r="W29" s="775"/>
      <c r="X29" s="1816"/>
      <c r="Y29" s="3196"/>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6"/>
      <c r="Q30" s="1813" t="str">
        <f t="shared" si="8"/>
        <v>土地级别</v>
      </c>
      <c r="R30" s="774" t="s">
        <v>17</v>
      </c>
      <c r="S30" s="775">
        <f t="shared" si="10"/>
        <v>100</v>
      </c>
      <c r="T30" s="774" t="s">
        <v>17</v>
      </c>
      <c r="U30" s="775">
        <f t="shared" si="11"/>
        <v>100</v>
      </c>
      <c r="V30" s="774" t="s">
        <v>17</v>
      </c>
      <c r="W30" s="775">
        <f t="shared" si="12"/>
        <v>100</v>
      </c>
      <c r="X30" s="1816"/>
      <c r="Y30" s="319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6"/>
      <c r="Q31" s="1813">
        <f t="shared" si="8"/>
        <v>111</v>
      </c>
      <c r="R31" s="774" t="s">
        <v>17</v>
      </c>
      <c r="S31" s="775">
        <f t="shared" si="10"/>
        <v>100</v>
      </c>
      <c r="T31" s="774" t="s">
        <v>17</v>
      </c>
      <c r="U31" s="775">
        <f t="shared" si="11"/>
        <v>100</v>
      </c>
      <c r="V31" s="774" t="s">
        <v>17</v>
      </c>
      <c r="W31" s="775">
        <f t="shared" si="12"/>
        <v>100</v>
      </c>
      <c r="X31" s="1816"/>
      <c r="Y31" s="319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2570</v>
      </c>
      <c r="Q32" s="1813">
        <f t="shared" si="8"/>
        <v>111</v>
      </c>
      <c r="R32" s="774" t="s">
        <v>17</v>
      </c>
      <c r="S32" s="775">
        <f t="shared" si="10"/>
        <v>100</v>
      </c>
      <c r="T32" s="774" t="s">
        <v>17</v>
      </c>
      <c r="U32" s="775">
        <f t="shared" si="11"/>
        <v>100</v>
      </c>
      <c r="V32" s="774" t="s">
        <v>17</v>
      </c>
      <c r="W32" s="775">
        <f t="shared" si="12"/>
        <v>100</v>
      </c>
      <c r="X32" s="1816"/>
      <c r="Y32" s="3200" t="s">
        <v>2570</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3">
        <f t="shared" si="8"/>
        <v>111</v>
      </c>
      <c r="R33" s="777" t="s">
        <v>17</v>
      </c>
      <c r="S33" s="778">
        <f t="shared" si="10"/>
        <v>100</v>
      </c>
      <c r="T33" s="777" t="s">
        <v>17</v>
      </c>
      <c r="U33" s="778">
        <f t="shared" si="11"/>
        <v>100</v>
      </c>
      <c r="V33" s="777" t="s">
        <v>17</v>
      </c>
      <c r="W33" s="778">
        <f t="shared" si="12"/>
        <v>100</v>
      </c>
      <c r="X33" s="779"/>
      <c r="Y33" s="3200"/>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3" t="str">
        <f>B34</f>
        <v>宗地面积</v>
      </c>
      <c r="R34" s="774" t="s">
        <v>17</v>
      </c>
      <c r="S34" s="775" t="e">
        <f t="shared" si="10"/>
        <v>#N/A</v>
      </c>
      <c r="T34" s="774" t="s">
        <v>17</v>
      </c>
      <c r="U34" s="775" t="e">
        <f t="shared" si="11"/>
        <v>#N/A</v>
      </c>
      <c r="V34" s="774" t="s">
        <v>17</v>
      </c>
      <c r="W34" s="775" t="e">
        <f t="shared" si="12"/>
        <v>#N/A</v>
      </c>
      <c r="X34" s="1816"/>
      <c r="Y34" s="3200"/>
      <c r="Z34" s="1817" t="str">
        <f t="shared" si="13"/>
        <v>宗地面积</v>
      </c>
      <c r="AA34" s="1814" t="e">
        <f t="shared" si="3"/>
        <v>#N/A</v>
      </c>
      <c r="AB34" s="1814" t="e">
        <f t="shared" si="4"/>
        <v>#N/A</v>
      </c>
      <c r="AC34" s="1814"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0"/>
      <c r="Q35" s="1813" t="str">
        <f t="shared" ref="Q35:Q40" si="14">B35</f>
        <v>宗地形状</v>
      </c>
      <c r="R35" s="774" t="s">
        <v>17</v>
      </c>
      <c r="S35" s="775">
        <f t="shared" si="10"/>
        <v>100</v>
      </c>
      <c r="T35" s="774" t="s">
        <v>17</v>
      </c>
      <c r="U35" s="775">
        <f t="shared" si="11"/>
        <v>100</v>
      </c>
      <c r="V35" s="774" t="s">
        <v>17</v>
      </c>
      <c r="W35" s="775">
        <f t="shared" si="12"/>
        <v>100</v>
      </c>
      <c r="X35" s="1816"/>
      <c r="Y35" s="3200"/>
      <c r="Z35" s="1817" t="str">
        <f t="shared" si="13"/>
        <v>宗地形状</v>
      </c>
      <c r="AA35" s="1814">
        <f t="shared" si="3"/>
        <v>1</v>
      </c>
      <c r="AB35" s="1814">
        <f t="shared" si="4"/>
        <v>1</v>
      </c>
      <c r="AC35" s="1814">
        <f t="shared" si="5"/>
        <v>1</v>
      </c>
    </row>
    <row r="36" spans="1:29" s="117" customFormat="1" ht="15">
      <c r="A36" s="473"/>
      <c r="B36" s="422" t="s">
        <v>2759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0"/>
      <c r="Q36" s="1813"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0" t="s">
        <v>2570</v>
      </c>
      <c r="Q37" s="1813" t="str">
        <f t="shared" si="14"/>
        <v>工程地质条件</v>
      </c>
      <c r="R37" s="774" t="s">
        <v>17</v>
      </c>
      <c r="S37" s="775">
        <f t="shared" si="10"/>
        <v>100</v>
      </c>
      <c r="T37" s="774" t="s">
        <v>17</v>
      </c>
      <c r="U37" s="775">
        <f t="shared" si="11"/>
        <v>100</v>
      </c>
      <c r="V37" s="774" t="s">
        <v>17</v>
      </c>
      <c r="W37" s="775">
        <f t="shared" si="12"/>
        <v>100</v>
      </c>
      <c r="X37" s="1816"/>
      <c r="Y37" s="3200"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3">
        <f t="shared" si="14"/>
        <v>111</v>
      </c>
      <c r="R38" s="774" t="s">
        <v>17</v>
      </c>
      <c r="S38" s="775">
        <f t="shared" si="10"/>
        <v>100</v>
      </c>
      <c r="T38" s="774" t="s">
        <v>17</v>
      </c>
      <c r="U38" s="775">
        <f t="shared" si="11"/>
        <v>100</v>
      </c>
      <c r="V38" s="774" t="s">
        <v>17</v>
      </c>
      <c r="W38" s="775">
        <f t="shared" si="12"/>
        <v>100</v>
      </c>
      <c r="X38" s="1816"/>
      <c r="Y38" s="320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3">
        <f t="shared" si="14"/>
        <v>111</v>
      </c>
      <c r="R39" s="774" t="s">
        <v>17</v>
      </c>
      <c r="S39" s="775">
        <f t="shared" si="10"/>
        <v>100</v>
      </c>
      <c r="T39" s="774" t="s">
        <v>17</v>
      </c>
      <c r="U39" s="775">
        <f t="shared" si="11"/>
        <v>100</v>
      </c>
      <c r="V39" s="774" t="s">
        <v>17</v>
      </c>
      <c r="W39" s="775">
        <f t="shared" si="12"/>
        <v>100</v>
      </c>
      <c r="X39" s="1816"/>
      <c r="Y39" s="3200"/>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3">
        <f t="shared" si="14"/>
        <v>111</v>
      </c>
      <c r="R40" s="777" t="s">
        <v>17</v>
      </c>
      <c r="S40" s="778">
        <f t="shared" si="10"/>
        <v>100</v>
      </c>
      <c r="T40" s="777" t="s">
        <v>17</v>
      </c>
      <c r="U40" s="778">
        <f t="shared" si="11"/>
        <v>100</v>
      </c>
      <c r="V40" s="777" t="s">
        <v>17</v>
      </c>
      <c r="W40" s="778">
        <f t="shared" si="12"/>
        <v>100</v>
      </c>
      <c r="X40" s="779"/>
      <c r="Y40" s="3200"/>
      <c r="Z40" s="780">
        <f t="shared" si="13"/>
        <v>111</v>
      </c>
      <c r="AA40" s="1814">
        <f t="shared" si="3"/>
        <v>1</v>
      </c>
      <c r="AB40" s="1814">
        <f t="shared" si="4"/>
        <v>1</v>
      </c>
      <c r="AC40" s="1814">
        <f t="shared" si="5"/>
        <v>1</v>
      </c>
    </row>
    <row r="41" spans="1:29" ht="15">
      <c r="A41" s="479" t="s">
        <v>2725</v>
      </c>
      <c r="B41" s="2710" t="s">
        <v>2805</v>
      </c>
      <c r="C41" s="682" t="s">
        <v>1</v>
      </c>
      <c r="D41" s="481"/>
      <c r="E41" s="482"/>
      <c r="F41" s="483"/>
      <c r="G41" s="484"/>
      <c r="H41" s="485"/>
      <c r="I41" s="482"/>
      <c r="J41" s="485"/>
      <c r="K41" s="783"/>
      <c r="L41" s="1146"/>
      <c r="M41" s="1134"/>
      <c r="N41" s="1134"/>
      <c r="O41" s="1147"/>
      <c r="P41" s="3188" t="str">
        <f>A41</f>
        <v>成交单价</v>
      </c>
      <c r="Q41" s="3188"/>
      <c r="R41" s="3202">
        <f>E41</f>
        <v>0</v>
      </c>
      <c r="S41" s="3202"/>
      <c r="T41" s="3202">
        <f>G41</f>
        <v>0</v>
      </c>
      <c r="U41" s="3202"/>
      <c r="V41" s="3202">
        <f>I41</f>
        <v>0</v>
      </c>
      <c r="W41" s="3202"/>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1" t="s">
        <v>2765</v>
      </c>
      <c r="D50" s="2712" t="s">
        <v>2766</v>
      </c>
      <c r="E50" s="686" t="s">
        <v>2767</v>
      </c>
      <c r="F50" s="687" t="s">
        <v>2768</v>
      </c>
      <c r="G50" s="3207" t="s">
        <v>2769</v>
      </c>
      <c r="H50" s="3279"/>
      <c r="I50" s="1817" t="s">
        <v>2806</v>
      </c>
      <c r="J50" s="1817" t="str">
        <f>项目基本情况!F35</f>
        <v>天津市</v>
      </c>
      <c r="K50" s="2714" t="s">
        <v>2771</v>
      </c>
      <c r="L50" s="1109"/>
      <c r="M50" s="1147"/>
      <c r="N50" s="1147"/>
      <c r="O50" s="1147"/>
    </row>
    <row r="51" spans="1:17" s="692" customFormat="1">
      <c r="A51" s="688" t="s">
        <v>2772</v>
      </c>
      <c r="B51" s="689" t="e">
        <f>C43</f>
        <v>#DIV/0!</v>
      </c>
      <c r="C51" s="690">
        <v>1</v>
      </c>
      <c r="D51" s="1166">
        <v>1</v>
      </c>
      <c r="E51" s="690">
        <f>'数据-汇总表'!E8+'数据-汇总表'!E9</f>
        <v>25223.160000000011</v>
      </c>
      <c r="F51" s="691" t="e">
        <f t="shared" ref="F51:F60" si="15">ROUND(B51*E51/10000,0)</f>
        <v>#DIV/0!</v>
      </c>
      <c r="G51" s="3203"/>
      <c r="H51" s="3188"/>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80"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5"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5"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6"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7" t="s">
        <v>2787</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2807</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2809</v>
      </c>
      <c r="B1" s="241"/>
      <c r="C1" s="245" t="s">
        <v>2810</v>
      </c>
      <c r="D1" s="388">
        <f>SUM(D29:D30,D33:D39)</f>
        <v>0</v>
      </c>
      <c r="E1" s="2723"/>
      <c r="F1" s="2723"/>
      <c r="G1" s="2723"/>
      <c r="H1" s="2723"/>
      <c r="I1" s="2723"/>
      <c r="J1" s="2723"/>
      <c r="K1" s="1373"/>
      <c r="L1" s="2724" t="s">
        <v>2811</v>
      </c>
      <c r="M1" s="1083">
        <f>SUMPRODUCT((区片价!B5:B9=I2)*(区片价!C3:F3=E2)*(区片价!C5:F9))</f>
        <v>0</v>
      </c>
      <c r="N1" s="1086">
        <f>SUMPRODUCT((因素修正幅度!B5:B9=I2)*(因素修正幅度!C3:F3=E2)*(因素修正幅度!C5:F9))</f>
        <v>0</v>
      </c>
      <c r="O1" s="2725"/>
      <c r="P1" s="2725"/>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7" t="s">
        <v>2818</v>
      </c>
      <c r="D2" s="2728" t="s">
        <v>2819</v>
      </c>
      <c r="E2" s="2729"/>
      <c r="F2" s="2728" t="s">
        <v>2820</v>
      </c>
      <c r="G2" s="2730">
        <f>IF(E2="商业",项目基本情况!B37,IF(E2="办公",项目基本情况!C37,IF(E2="住宅",项目基本情况!D37,项目基本情况!E37)))</f>
        <v>0</v>
      </c>
      <c r="H2" s="2728" t="s">
        <v>2821</v>
      </c>
      <c r="I2" s="2730">
        <f>IF(E2="商业",项目基本情况!B38,IF(E2="办公",项目基本情况!C38,IF(E2="住宅",项目基本情况!D38,项目基本情况!E38)))</f>
        <v>0</v>
      </c>
      <c r="J2" s="2731"/>
      <c r="K2" s="1373"/>
      <c r="L2" s="2732" t="s">
        <v>2822</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7" t="s">
        <v>2824</v>
      </c>
      <c r="D3" s="2728" t="s">
        <v>2825</v>
      </c>
      <c r="E3" s="2733"/>
      <c r="F3" s="2734" t="s">
        <v>2826</v>
      </c>
      <c r="G3" s="916" t="e">
        <f>IF(F3="宗地容积率",'数据-汇总表'!I4,IF(F3="估价对象容积率",'数据-汇总表'!I6,'数据-汇总表'!I7))</f>
        <v>#DIV/0!</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8"/>
      <c r="B4" s="3289"/>
      <c r="C4" s="3289"/>
      <c r="D4" s="3290"/>
      <c r="E4" s="3290"/>
      <c r="F4" s="3290"/>
      <c r="G4" s="3290"/>
      <c r="H4" s="3290"/>
      <c r="I4" s="3290"/>
      <c r="J4" s="3291"/>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92" t="str">
        <f>IF(E2="商业",IF(C8="不临58条商业街","",2),"")</f>
        <v/>
      </c>
      <c r="B7" s="2751" t="s">
        <v>2837</v>
      </c>
      <c r="C7" s="919" t="e">
        <f>IF(C8="不临58条商业街",1,ROUND(1+(1.6*E8+1.2*E9+0.8*E10+0.4*E11)*C9,4))</f>
        <v>#DIV/0!</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2840</v>
      </c>
      <c r="X7" s="1607">
        <f>G2</f>
        <v>0</v>
      </c>
      <c r="Y7" s="1607" t="s">
        <v>2841</v>
      </c>
      <c r="Z7" s="1608" t="e">
        <f>G3</f>
        <v>#DIV/0!</v>
      </c>
      <c r="AA7" s="1609"/>
      <c r="AB7" s="1609"/>
      <c r="AC7" s="1610"/>
      <c r="AD7" s="1611"/>
      <c r="AE7" s="1611"/>
      <c r="AF7" s="1611"/>
      <c r="AG7" s="1611"/>
      <c r="AH7" s="1611"/>
      <c r="AI7" s="1611"/>
      <c r="AJ7" s="1612"/>
    </row>
    <row r="8" spans="1:36" ht="15">
      <c r="A8" s="3293"/>
      <c r="B8" s="198" t="s">
        <v>2842</v>
      </c>
      <c r="C8" s="2756"/>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5" t="s">
        <v>2845</v>
      </c>
      <c r="X8" s="3286"/>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3"/>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7"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3"/>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3"/>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7" t="s">
        <v>2869</v>
      </c>
      <c r="X11" s="1617" t="s">
        <v>2870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92" t="s">
        <v>2871</v>
      </c>
      <c r="B12" s="2764" t="s">
        <v>2872</v>
      </c>
      <c r="C12" s="919">
        <f>ROUND(C15*D15*E15*F15*G15*H15*I15*J15,4)</f>
        <v>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7"/>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t="e">
        <f t="shared" si="0"/>
        <v>#DIV/0!</v>
      </c>
      <c r="U13" s="1606"/>
      <c r="V13" s="1605" t="e">
        <f t="shared" si="1"/>
        <v>#DIV/0!</v>
      </c>
      <c r="W13" s="328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94"/>
      <c r="B14" s="2774"/>
      <c r="C14" s="2775"/>
      <c r="D14" s="2776"/>
      <c r="E14" s="2776"/>
      <c r="F14" s="2777"/>
      <c r="G14" s="2778" t="s">
        <v>2882</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5"/>
      <c r="B15" s="2782" t="s">
        <v>2883</v>
      </c>
      <c r="C15" s="229">
        <f>IF(C14="有",1.1,1)</f>
        <v>1</v>
      </c>
      <c r="D15" s="229">
        <f>IF(D14="有",1.1,1)</f>
        <v>1</v>
      </c>
      <c r="E15" s="229">
        <f>IF(E14="有",1.1,1)</f>
        <v>1</v>
      </c>
      <c r="F15" s="229">
        <f>IF(F14="500米范围内",1.2,IF(F14="500-1000米",1.1,1))</f>
        <v>1</v>
      </c>
      <c r="G15" s="949">
        <v>1</v>
      </c>
      <c r="H15" s="949">
        <v>1</v>
      </c>
      <c r="I15" s="949">
        <v>1</v>
      </c>
      <c r="J15" s="950">
        <v>1</v>
      </c>
      <c r="K15" s="1373"/>
      <c r="L15" s="2783" t="s">
        <v>2819</v>
      </c>
      <c r="M15" s="920" t="s">
        <v>2884</v>
      </c>
      <c r="N15" s="920" t="s">
        <v>2885</v>
      </c>
      <c r="O15" s="920" t="s">
        <v>2886</v>
      </c>
      <c r="P15" s="2784"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2" t="s">
        <v>2888</v>
      </c>
      <c r="B16" s="2751" t="s">
        <v>2889</v>
      </c>
      <c r="C16" s="1804" t="e">
        <f>ROUND(SUM(G17:J17)/C17,0)</f>
        <v>#DIV/0!</v>
      </c>
      <c r="D16" s="2785" t="s">
        <v>2890</v>
      </c>
      <c r="E16" s="2786"/>
      <c r="F16" s="2787"/>
      <c r="G16" s="2788"/>
      <c r="H16" s="2788"/>
      <c r="I16" s="2788"/>
      <c r="J16" s="2789"/>
      <c r="K16" s="1373"/>
      <c r="L16" s="2790"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3"/>
      <c r="B17" s="2791" t="s">
        <v>2892</v>
      </c>
      <c r="C17" s="924">
        <f>SUMPRODUCT((修正!A2:A5=E2)*(修正!B1:M1=G2)*(修正!B2:M5))</f>
        <v>0</v>
      </c>
      <c r="D17" s="2792"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t="e">
        <f>ROUND(IF(H19="按公示增长率计算",SUMPRODUCT((地价!A3:A23=YEAR(G19)&amp;"-"&amp;ROUNDUP(MONTH(G19)/3,0))*(地价!X2:AB2=E2)*(地价!X3:AB23)),IF(H19="地价指数",M20/M19,(1+I19)^O19)),4)</f>
        <v>#DIV/0!</v>
      </c>
      <c r="D19" s="2803" t="s">
        <v>2898</v>
      </c>
      <c r="E19" s="928">
        <v>41640</v>
      </c>
      <c r="F19" s="2803" t="s">
        <v>2899</v>
      </c>
      <c r="G19" s="929">
        <f>'数据-取费表'!B2</f>
        <v>43362</v>
      </c>
      <c r="H19" s="2804" t="s">
        <v>2900</v>
      </c>
      <c r="I19" s="930" t="str">
        <f>IF(H19="季度增幅（自定义）",SUMIF(N21:N24,E2,O21:O24),"")</f>
        <v/>
      </c>
      <c r="J19" s="2801"/>
      <c r="K19" s="1380"/>
      <c r="L19" s="2805" t="s">
        <v>2901</v>
      </c>
      <c r="M19" s="1737">
        <f>ROUND(SUMIF(地价!B2:F2,E2,地价!B23:F23),0)</f>
        <v>0</v>
      </c>
      <c r="N19" s="2806" t="s">
        <v>2902</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t="e">
        <f>ROUND(POWER(1+G20,J20-I20)*(POWER(1+G20,I20)-1)/(POWER(1+G20,J20)-1),4)</f>
        <v>#DIV/0!</v>
      </c>
      <c r="D20" s="2812" t="s">
        <v>2904</v>
      </c>
      <c r="E20" s="1771">
        <f ca="1">存贷款利率!D4/100</f>
        <v>4.3499999999999997E-2</v>
      </c>
      <c r="F20" s="2812" t="s">
        <v>2895</v>
      </c>
      <c r="G20" s="937">
        <f>SUMIF(M15:P15,E2,M17:P17)</f>
        <v>0</v>
      </c>
      <c r="H20" s="2812" t="s">
        <v>2905</v>
      </c>
      <c r="I20" s="938" t="e">
        <f>SUMIF('数据-取费表'!C6:C15,E2,'数据-取费表'!F6:F15)/COUNTIF('数据-取费表'!C6:C15,E2)</f>
        <v>#DIV/0!</v>
      </c>
      <c r="J20" s="939">
        <f>IF(E2="住宅",70,IF(E2="商业",40,50))</f>
        <v>50</v>
      </c>
      <c r="K20" s="1380"/>
      <c r="L20" s="2813" t="s">
        <v>2906</v>
      </c>
      <c r="M20" s="1738">
        <f>ROUND(SUMPRODUCT((地价!A4:A23=YEAR(G19)&amp;"-"&amp;ROUNDUP(MONTH(G19)/3,0))*(地价!B2:F2=E2)*(地价!B4:F23)),0)</f>
        <v>0</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2910</v>
      </c>
      <c r="C21" s="940" t="e">
        <f>IF(B21="容积率修正",IF(G3&lt;=10,D22,J22),C23)</f>
        <v>#DIV/0!</v>
      </c>
      <c r="D21" s="2819"/>
      <c r="E21" s="2819"/>
      <c r="F21" s="2819"/>
      <c r="G21" s="2819"/>
      <c r="H21" s="2819"/>
      <c r="I21" s="2819"/>
      <c r="J21" s="2820"/>
      <c r="K21" s="1380"/>
      <c r="N21" s="2821" t="s">
        <v>2911</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2912</v>
      </c>
      <c r="B22" s="2822" t="s">
        <v>2913</v>
      </c>
      <c r="C22" s="1813" t="s">
        <v>2914</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1" t="s">
        <v>2915</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3" t="s">
        <v>2917</v>
      </c>
      <c r="C23" s="1016" t="e">
        <f>ROUND(IF(G3&gt;1,IF(I3&lt;7,SUMPRODUCT((B93:B98=I3)*(C92:N92=G2)*(C93:N98)),SUMIF(C92:N92,G2,C100:N100)),IF(I3&lt;7,SUMPRODUCT((B102:B107=I3)*(C92:N92=G2)*(C102:N107)),SUMIF(C92:N92,G2,C109:N109))),4)</f>
        <v>#DIV/0!</v>
      </c>
      <c r="D23" s="2779"/>
      <c r="E23" s="2779"/>
      <c r="F23" s="2824"/>
      <c r="G23" s="2825"/>
      <c r="H23" s="2826"/>
      <c r="I23" s="2827"/>
      <c r="J23" s="2828"/>
      <c r="K23" s="1373"/>
      <c r="N23" s="2821" t="s">
        <v>2918</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2919</v>
      </c>
      <c r="C24" s="927">
        <f>SUMIF(A45:A88,E2,B45:B88)</f>
        <v>0</v>
      </c>
      <c r="D24" s="2799"/>
      <c r="E24" s="2829"/>
      <c r="F24" s="2829"/>
      <c r="G24" s="2829"/>
      <c r="H24" s="2829"/>
      <c r="I24" s="2829"/>
      <c r="J24" s="2830"/>
      <c r="K24" s="1380"/>
      <c r="N24" s="2831" t="s">
        <v>2920</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2921</v>
      </c>
      <c r="C25" s="933"/>
      <c r="D25" s="2754"/>
      <c r="E25" s="2754"/>
      <c r="F25" s="2833"/>
      <c r="G25" s="2754"/>
      <c r="H25" s="2754"/>
      <c r="I25" s="2754"/>
      <c r="J25" s="2755"/>
      <c r="K25" s="1373"/>
      <c r="N25" s="2834" t="s">
        <v>2922</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2923</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2924</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2925</v>
      </c>
      <c r="C28" s="2846" t="s">
        <v>2926</v>
      </c>
      <c r="D28" s="2846" t="s">
        <v>2927</v>
      </c>
      <c r="E28" s="2847" t="s">
        <v>2928</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2929</v>
      </c>
      <c r="C29" s="206" t="e">
        <f>ROUND(C5*C18*C19*C20*C21*C24,0)</f>
        <v>#DIV/0!</v>
      </c>
      <c r="D29" s="2851"/>
      <c r="E29" s="945" t="e">
        <f>ROUND(C29*D29/10000,0)</f>
        <v>#DIV/0!</v>
      </c>
      <c r="F29" s="2852" t="s">
        <v>2930</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2931</v>
      </c>
      <c r="C30" s="229" t="e">
        <f>ROUND(IF(E2="工业",C29*M39,C29*M38),0)</f>
        <v>#DIV/0!</v>
      </c>
      <c r="D30" s="2857"/>
      <c r="E30" s="945" t="e">
        <f>ROUND(C30*D30/10000,0)</f>
        <v>#DIV/0!</v>
      </c>
      <c r="F30" s="2858" t="s">
        <v>2932</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2933</v>
      </c>
      <c r="C31" s="2863" t="s">
        <v>2934</v>
      </c>
      <c r="D31" s="2767"/>
      <c r="E31" s="2863"/>
      <c r="F31" s="2863"/>
      <c r="G31" s="2765" t="s">
        <v>2935</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2926</v>
      </c>
      <c r="D32" s="498" t="s">
        <v>2927</v>
      </c>
      <c r="E32" s="498" t="s">
        <v>2928</v>
      </c>
      <c r="F32" s="388" t="s">
        <v>2936</v>
      </c>
      <c r="G32" s="2866" t="s">
        <v>2926</v>
      </c>
      <c r="H32" s="2866" t="s">
        <v>2927</v>
      </c>
      <c r="I32" s="2866"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02" t="s">
        <v>2937</v>
      </c>
      <c r="B33" s="2867" t="s">
        <v>2938</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3"/>
      <c r="B34" s="2771" t="s">
        <v>2939</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3"/>
      <c r="B35" s="2771" t="s">
        <v>2940</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04"/>
      <c r="B36" s="2771" t="s">
        <v>2941</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2942</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2943</v>
      </c>
      <c r="M37" s="2871"/>
      <c r="N37" s="1373"/>
      <c r="O37" s="1373"/>
      <c r="P37" s="1373"/>
      <c r="Q37" s="1373"/>
      <c r="R37" s="1373"/>
      <c r="S37" s="1373"/>
      <c r="T37" s="1373"/>
      <c r="U37" s="1373"/>
      <c r="V37" s="1373"/>
      <c r="W37" s="1373"/>
      <c r="X37" s="1373"/>
      <c r="Y37" s="1373"/>
      <c r="Z37" s="1374"/>
    </row>
    <row r="38" spans="1:37">
      <c r="A38" s="2869"/>
      <c r="B38" s="2771" t="s">
        <v>2944</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2945</v>
      </c>
      <c r="M38" s="2872">
        <v>0.25</v>
      </c>
      <c r="N38" s="1373"/>
      <c r="O38" s="1373"/>
      <c r="P38" s="1373"/>
      <c r="Q38" s="1373"/>
      <c r="R38" s="1373"/>
      <c r="S38" s="1373"/>
      <c r="T38" s="1373"/>
      <c r="U38" s="1373"/>
      <c r="V38" s="1373"/>
      <c r="W38" s="1373"/>
      <c r="X38" s="1373"/>
      <c r="Y38" s="1373"/>
      <c r="Z38" s="1374"/>
    </row>
    <row r="39" spans="1:37" ht="13.5" thickBot="1">
      <c r="A39" s="2855"/>
      <c r="B39" s="2873" t="s">
        <v>2946</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2947</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2948</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2949</v>
      </c>
      <c r="B47" s="1812" t="s">
        <v>2950</v>
      </c>
      <c r="C47" s="1812" t="s">
        <v>2951</v>
      </c>
      <c r="D47" s="1812" t="s">
        <v>2952</v>
      </c>
      <c r="E47" s="819" t="s">
        <v>2953</v>
      </c>
      <c r="F47" s="2885" t="s">
        <v>2954</v>
      </c>
      <c r="G47" s="1812" t="s">
        <v>754</v>
      </c>
      <c r="H47" s="2886"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4" t="s">
        <v>2957</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2958</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2959</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2960</v>
      </c>
      <c r="B51" s="2889" t="s">
        <v>2961</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2962</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2963</v>
      </c>
      <c r="B53" s="2890" t="s">
        <v>2964</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2965</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2966</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2967</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2968</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2949</v>
      </c>
      <c r="B58" s="1812"/>
      <c r="C58" s="1812" t="s">
        <v>2951</v>
      </c>
      <c r="D58" s="1812" t="s">
        <v>2952</v>
      </c>
      <c r="E58" s="819" t="s">
        <v>2953</v>
      </c>
      <c r="F58" s="2885" t="s">
        <v>2969</v>
      </c>
      <c r="G58" s="1812" t="s">
        <v>754</v>
      </c>
      <c r="H58" s="2886"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4" t="s">
        <v>2970</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2958</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2959</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2960</v>
      </c>
      <c r="B62" s="2889" t="s">
        <v>2961</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2962</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2963</v>
      </c>
      <c r="B64" s="2890" t="s">
        <v>2964</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2965</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2966</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2967</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2971</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2949</v>
      </c>
      <c r="B69" s="1812"/>
      <c r="C69" s="1812" t="s">
        <v>2951</v>
      </c>
      <c r="D69" s="1812" t="s">
        <v>2952</v>
      </c>
      <c r="E69" s="819" t="s">
        <v>2953</v>
      </c>
      <c r="F69" s="2885" t="s">
        <v>2969</v>
      </c>
      <c r="G69" s="1812" t="s">
        <v>754</v>
      </c>
      <c r="H69" s="2886"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4" t="s">
        <v>2972</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2958</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2959</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2973</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2965</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2966</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2963</v>
      </c>
      <c r="B76" s="2890" t="s">
        <v>2964</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2967</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2974</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2975</v>
      </c>
      <c r="B79" s="2881">
        <f>1+E81</f>
        <v>1</v>
      </c>
      <c r="C79" s="814"/>
      <c r="D79" s="814"/>
      <c r="E79" s="815"/>
      <c r="F79" s="2883"/>
      <c r="G79" s="6"/>
      <c r="H79" s="6"/>
      <c r="I79" s="6"/>
      <c r="J79" s="7"/>
      <c r="K79" s="7"/>
      <c r="L79" s="7"/>
      <c r="M79" s="7"/>
      <c r="N79" s="7"/>
      <c r="Z79" s="2726"/>
      <c r="AA79" s="2802"/>
      <c r="AG79" s="1375"/>
      <c r="AK79" s="2802"/>
    </row>
    <row r="80" spans="1:37" ht="24.75">
      <c r="A80" s="2884" t="s">
        <v>2949</v>
      </c>
      <c r="B80" s="1812"/>
      <c r="C80" s="1812" t="s">
        <v>2951</v>
      </c>
      <c r="D80" s="1812" t="s">
        <v>2952</v>
      </c>
      <c r="E80" s="819" t="s">
        <v>2953</v>
      </c>
      <c r="F80" s="2885" t="s">
        <v>2969</v>
      </c>
      <c r="G80" s="1812" t="s">
        <v>754</v>
      </c>
      <c r="H80" s="2886" t="s">
        <v>2955</v>
      </c>
      <c r="I80" s="1812" t="s">
        <v>2956</v>
      </c>
      <c r="J80" s="603" t="s">
        <v>2602</v>
      </c>
      <c r="K80" s="603" t="s">
        <v>2603</v>
      </c>
      <c r="L80" s="603" t="s">
        <v>2604</v>
      </c>
      <c r="M80" s="603" t="s">
        <v>2605</v>
      </c>
      <c r="N80" s="603" t="s">
        <v>2606</v>
      </c>
      <c r="Z80" s="2726"/>
      <c r="AA80" s="2802"/>
      <c r="AG80" s="1375"/>
      <c r="AK80" s="2802"/>
    </row>
    <row r="81" spans="1:37" ht="38.25">
      <c r="A81" s="2884" t="s">
        <v>2976</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2958</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2959</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2973</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2965</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2966</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2963</v>
      </c>
      <c r="B87" s="2890" t="s">
        <v>2977</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2978</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6" t="s">
        <v>2979</v>
      </c>
      <c r="B90" s="3296"/>
      <c r="C90" s="3296"/>
      <c r="D90" s="3296"/>
      <c r="E90" s="3296"/>
      <c r="F90" s="3296"/>
      <c r="G90" s="3296"/>
      <c r="H90" s="3296"/>
      <c r="I90" s="3296"/>
      <c r="J90" s="3296"/>
      <c r="K90" s="2898"/>
      <c r="L90" s="2898"/>
      <c r="M90" s="2898"/>
      <c r="N90" s="2898"/>
    </row>
    <row r="91" spans="1:37">
      <c r="A91" s="3298" t="s">
        <v>2980</v>
      </c>
      <c r="B91" s="3298" t="s">
        <v>2981</v>
      </c>
      <c r="C91" s="2852" t="s">
        <v>2982</v>
      </c>
      <c r="D91" s="2853"/>
      <c r="E91" s="2853"/>
      <c r="F91" s="2853"/>
      <c r="G91" s="2853"/>
      <c r="H91" s="2853"/>
      <c r="I91" s="2853"/>
      <c r="J91" s="2899"/>
      <c r="K91" s="2900"/>
      <c r="L91" s="2900"/>
      <c r="M91" s="2900"/>
      <c r="N91" s="2900"/>
    </row>
    <row r="92" spans="1:37">
      <c r="A92" s="3298"/>
      <c r="B92" s="3298"/>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99" t="s">
        <v>2983</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0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0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0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0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0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00"/>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0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9" t="s">
        <v>2984</v>
      </c>
      <c r="B101" s="2905" t="s">
        <v>2985</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300"/>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300"/>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300"/>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300"/>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300"/>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300"/>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300"/>
      <c r="B108" s="3158" t="s">
        <v>2986</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01"/>
      <c r="B109" s="3159"/>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97" t="s">
        <v>2987</v>
      </c>
      <c r="B110" s="3297"/>
      <c r="C110" s="3297"/>
      <c r="D110" s="3297"/>
      <c r="E110" s="3297"/>
      <c r="F110" s="3297"/>
      <c r="G110" s="3297"/>
      <c r="H110" s="3297"/>
      <c r="I110" s="3297"/>
      <c r="J110" s="3297"/>
      <c r="K110" s="2907"/>
      <c r="L110" s="2907"/>
      <c r="M110" s="2907"/>
      <c r="N110" s="2907"/>
    </row>
    <row r="112" spans="1:14" ht="13.5" thickBot="1"/>
    <row r="113" spans="1:13" ht="25.5" thickBot="1">
      <c r="A113" s="903" t="s">
        <v>2988</v>
      </c>
      <c r="B113" s="1290" t="e">
        <f>G3</f>
        <v>#DIV/0!</v>
      </c>
      <c r="C113" s="904" t="s">
        <v>2989</v>
      </c>
      <c r="D113" s="905" t="e">
        <f>SUMPRODUCT((A115:A118=F113)*(B114:M114=H113)*B115:M118)</f>
        <v>#DIV/0!</v>
      </c>
      <c r="E113" s="2730" t="s">
        <v>2819</v>
      </c>
      <c r="F113" s="2909">
        <f>E2</f>
        <v>0</v>
      </c>
      <c r="G113" s="2730" t="s">
        <v>2820</v>
      </c>
      <c r="H113" s="2909">
        <f>G2</f>
        <v>0</v>
      </c>
      <c r="I113" s="2730"/>
      <c r="J113" s="2910"/>
      <c r="K113" s="2910"/>
      <c r="L113" s="2910"/>
      <c r="M113" s="2910"/>
    </row>
    <row r="114" spans="1:13">
      <c r="A114" s="908"/>
      <c r="B114" s="2911" t="s">
        <v>2990</v>
      </c>
      <c r="C114" s="2911" t="s">
        <v>2991</v>
      </c>
      <c r="D114" s="2911" t="s">
        <v>2992</v>
      </c>
      <c r="E114" s="2912" t="s">
        <v>2993</v>
      </c>
      <c r="F114" s="2912" t="s">
        <v>2994</v>
      </c>
      <c r="G114" s="2912" t="s">
        <v>2995</v>
      </c>
      <c r="H114" s="2913" t="s">
        <v>2996</v>
      </c>
      <c r="I114" s="2913" t="s">
        <v>2997</v>
      </c>
      <c r="J114" s="2914" t="s">
        <v>2998</v>
      </c>
      <c r="K114" s="2914" t="s">
        <v>2999</v>
      </c>
      <c r="L114" s="2914" t="s">
        <v>3000</v>
      </c>
      <c r="M114" s="2915" t="s">
        <v>3001</v>
      </c>
    </row>
    <row r="115" spans="1:13">
      <c r="A115" s="909" t="s">
        <v>2884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6" t="s">
        <v>3002</v>
      </c>
      <c r="B2" s="2917" t="e">
        <f ca="1">SUMIF(B6:B13,"&lt;&gt;#ref!",B6:B13)</f>
        <v>#DIV/0!</v>
      </c>
      <c r="C2" s="2916" t="s">
        <v>3003</v>
      </c>
      <c r="D2" s="2916" t="s">
        <v>3004</v>
      </c>
      <c r="E2" s="2917">
        <f ca="1">SUMIF(E6:E13,"&lt;&gt;#ref!",E6:E13)</f>
        <v>0</v>
      </c>
    </row>
    <row r="3" spans="1:5" ht="15.75">
      <c r="A3" s="2916" t="s">
        <v>3005</v>
      </c>
      <c r="B3" s="2917" t="e">
        <f ca="1">ROUND(B2*10000/E2,0)</f>
        <v>#DIV/0!</v>
      </c>
      <c r="C3" s="2916" t="s">
        <v>3011</v>
      </c>
      <c r="D3" s="2918"/>
      <c r="E3" s="2918"/>
    </row>
    <row r="4" spans="1:5" ht="15.75">
      <c r="A4" s="2919"/>
      <c r="B4" s="2918"/>
      <c r="C4" s="2918"/>
      <c r="D4" s="2918"/>
      <c r="E4" s="2918"/>
    </row>
    <row r="5" spans="1:5" ht="28.5">
      <c r="A5" s="2920" t="s">
        <v>3006</v>
      </c>
      <c r="B5" s="2916" t="s">
        <v>3007</v>
      </c>
      <c r="C5" s="2917"/>
      <c r="D5" s="2918"/>
      <c r="E5" s="2916" t="s">
        <v>3008</v>
      </c>
    </row>
    <row r="6" spans="1:5" ht="15.75">
      <c r="A6" s="2921" t="s">
        <v>3009</v>
      </c>
      <c r="B6" s="2917" t="e">
        <f ca="1">SUMIF(INDIRECT("'"&amp;A6&amp;"'"&amp;"!A:A"),"总价",INDIRECT("'"&amp;A6&amp;"'"&amp;"!B:B"))</f>
        <v>#DIV/0!</v>
      </c>
      <c r="C6" s="2916" t="s">
        <v>3003</v>
      </c>
      <c r="D6" s="2918"/>
      <c r="E6" s="2581">
        <f ca="1">SUMIF(INDIRECT("'"&amp;A6&amp;"'"&amp;"!C:C"),"建筑面积",INDIRECT("'"&amp;A6&amp;"'"&amp;"!D:D"))</f>
        <v>0</v>
      </c>
    </row>
    <row r="7" spans="1:5" ht="15.75">
      <c r="A7" s="2921"/>
      <c r="B7" s="2917" t="e">
        <f ca="1">SUMIF(INDIRECT("'"&amp;A7&amp;"'"&amp;"!A:A"),"总价",INDIRECT("'"&amp;A7&amp;"'"&amp;"!B:B"))</f>
        <v>#REF!</v>
      </c>
      <c r="C7" s="2916" t="s">
        <v>3003</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3003</v>
      </c>
      <c r="D8" s="2918"/>
      <c r="E8" s="2581" t="e">
        <f t="shared" ca="1" si="0"/>
        <v>#REF!</v>
      </c>
    </row>
    <row r="9" spans="1:5" ht="15.75">
      <c r="A9" s="2921"/>
      <c r="B9" s="2917" t="e">
        <f t="shared" ca="1" si="1"/>
        <v>#REF!</v>
      </c>
      <c r="C9" s="2916" t="s">
        <v>3003</v>
      </c>
      <c r="D9" s="2918"/>
      <c r="E9" s="2581" t="e">
        <f t="shared" ca="1" si="0"/>
        <v>#REF!</v>
      </c>
    </row>
    <row r="10" spans="1:5" ht="15.75">
      <c r="A10" s="2921"/>
      <c r="B10" s="2917" t="e">
        <f t="shared" ca="1" si="1"/>
        <v>#REF!</v>
      </c>
      <c r="C10" s="2916" t="s">
        <v>3003</v>
      </c>
      <c r="D10" s="2918"/>
      <c r="E10" s="2581" t="e">
        <f t="shared" ca="1" si="0"/>
        <v>#REF!</v>
      </c>
    </row>
    <row r="11" spans="1:5" ht="15.75">
      <c r="A11" s="2921"/>
      <c r="B11" s="2917" t="e">
        <f t="shared" ca="1" si="1"/>
        <v>#REF!</v>
      </c>
      <c r="C11" s="2916" t="s">
        <v>3003</v>
      </c>
      <c r="D11" s="2918"/>
      <c r="E11" s="2581" t="e">
        <f t="shared" ca="1" si="0"/>
        <v>#REF!</v>
      </c>
    </row>
    <row r="12" spans="1:5" ht="15.75">
      <c r="A12" s="2921"/>
      <c r="B12" s="2917" t="e">
        <f t="shared" ca="1" si="1"/>
        <v>#REF!</v>
      </c>
      <c r="C12" s="2916" t="s">
        <v>3003</v>
      </c>
      <c r="D12" s="2918"/>
      <c r="E12" s="2581" t="e">
        <f t="shared" ca="1" si="0"/>
        <v>#REF!</v>
      </c>
    </row>
    <row r="13" spans="1:5" ht="15.75">
      <c r="A13" s="2921"/>
      <c r="B13" s="2917" t="e">
        <f t="shared" ca="1" si="1"/>
        <v>#REF!</v>
      </c>
      <c r="C13" s="2916" t="s">
        <v>3003</v>
      </c>
      <c r="D13" s="2918"/>
      <c r="E13" s="2581"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1" t="s">
        <v>1150</v>
      </c>
      <c r="C1" s="3311"/>
      <c r="D1" s="3311"/>
      <c r="E1" s="3311"/>
      <c r="F1" s="3311"/>
      <c r="G1" s="3310" t="s">
        <v>1151</v>
      </c>
      <c r="H1" s="3310"/>
      <c r="I1" s="3310"/>
      <c r="J1" s="3310"/>
      <c r="K1" s="3310"/>
      <c r="L1" s="3310"/>
      <c r="N1" s="3310" t="s">
        <v>1152</v>
      </c>
      <c r="O1" s="3310"/>
      <c r="P1" s="3310"/>
      <c r="Q1" s="3310"/>
      <c r="R1" s="1449"/>
      <c r="S1" s="3310" t="s">
        <v>1153</v>
      </c>
      <c r="T1" s="3310"/>
      <c r="U1" s="3310"/>
      <c r="V1" s="3310"/>
      <c r="X1" s="3309" t="s">
        <v>1154</v>
      </c>
      <c r="Y1" s="3310"/>
      <c r="Z1" s="3310"/>
      <c r="AA1" s="3310"/>
      <c r="AB1" s="3310"/>
      <c r="AD1" s="3309" t="s">
        <v>1155</v>
      </c>
      <c r="AE1" s="3310"/>
      <c r="AF1" s="3310"/>
      <c r="AG1" s="3310"/>
      <c r="AH1" s="331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3044</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3040</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1" activePane="bottomLeft" state="frozen"/>
      <selection activeCell="C50" sqref="C50"/>
      <selection pane="bottomLeft" activeCell="S96" sqref="S96:S9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317" t="s">
        <v>3013</v>
      </c>
      <c r="D1" s="3318"/>
      <c r="E1" s="3318"/>
      <c r="F1" s="3318"/>
      <c r="G1" s="3318"/>
      <c r="H1" s="3318"/>
      <c r="I1" s="3318"/>
      <c r="J1" s="3318"/>
      <c r="K1" s="3318"/>
      <c r="L1" s="3318"/>
      <c r="M1" s="3318"/>
      <c r="N1" s="3318"/>
      <c r="O1" s="3318"/>
      <c r="P1" s="3318"/>
      <c r="Q1" s="3318"/>
      <c r="R1" s="3318"/>
      <c r="S1" s="3319"/>
      <c r="T1" s="1207" t="s">
        <v>3014</v>
      </c>
    </row>
    <row r="2" spans="1:45" s="707" customFormat="1" ht="38.25">
      <c r="A2" s="1208"/>
      <c r="B2" s="703" t="s">
        <v>3015</v>
      </c>
      <c r="C2" s="704" t="str">
        <f t="shared" ref="C2:L2" si="0">C3&amp;"(含)"&amp;"-"&amp;D3</f>
        <v>0(含)-100</v>
      </c>
      <c r="D2" s="705" t="str">
        <f t="shared" si="0"/>
        <v>100(含)-300</v>
      </c>
      <c r="E2" s="705" t="str">
        <f t="shared" si="0"/>
        <v>300(含)-600</v>
      </c>
      <c r="F2" s="705" t="str">
        <f t="shared" si="0"/>
        <v>600(含)-900</v>
      </c>
      <c r="G2" s="705" t="str">
        <f t="shared" si="0"/>
        <v>900(含)-1200</v>
      </c>
      <c r="H2" s="705" t="str">
        <f t="shared" si="0"/>
        <v>1200(含)-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300</v>
      </c>
      <c r="F3" s="1707">
        <v>600</v>
      </c>
      <c r="G3" s="1707">
        <v>900</v>
      </c>
      <c r="H3" s="1707">
        <v>1200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3022</v>
      </c>
      <c r="B17" s="2923" t="s">
        <v>3023</v>
      </c>
      <c r="C17" s="1234" t="s">
        <v>3909</v>
      </c>
      <c r="D17" s="1235" t="s">
        <v>3910</v>
      </c>
      <c r="E17" s="1235" t="s">
        <v>3911</v>
      </c>
      <c r="F17" s="1235" t="s">
        <v>3915</v>
      </c>
      <c r="G17" s="1235" t="s">
        <v>3918</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75</v>
      </c>
      <c r="F18" s="1247">
        <v>70</v>
      </c>
      <c r="G18" s="1247">
        <v>75</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3024</v>
      </c>
      <c r="E19" s="1795"/>
      <c r="F19" s="1795"/>
      <c r="G19" s="1795"/>
      <c r="H19" s="1283"/>
      <c r="I19" s="168"/>
      <c r="J19" s="168"/>
      <c r="K19" s="168"/>
      <c r="L19" s="168"/>
      <c r="M19" s="168"/>
      <c r="N19" s="168"/>
      <c r="O19" s="168"/>
      <c r="P19" s="168"/>
      <c r="Q19" s="168"/>
      <c r="R19" s="788"/>
      <c r="S19" s="138"/>
    </row>
    <row r="20" spans="1:45" ht="16.5" thickBot="1">
      <c r="A20" s="715" t="s">
        <v>3025</v>
      </c>
      <c r="B20" s="338">
        <f ca="1">IF(D20="——",S22,S22-F20)</f>
        <v>23524</v>
      </c>
      <c r="C20" s="168"/>
      <c r="D20" s="2925" t="s">
        <v>70</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 ca="1">R22</f>
        <v>15439</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15236.579999999996</v>
      </c>
      <c r="C22" s="3180" t="s">
        <v>33</v>
      </c>
      <c r="D22" s="3181"/>
      <c r="E22" s="3181"/>
      <c r="F22" s="3181"/>
      <c r="G22" s="3181"/>
      <c r="H22" s="3181"/>
      <c r="I22" s="3181"/>
      <c r="J22" s="3181"/>
      <c r="K22" s="3181"/>
      <c r="L22" s="3181"/>
      <c r="M22" s="3181"/>
      <c r="N22" s="3181"/>
      <c r="O22" s="3181"/>
      <c r="P22" s="3181"/>
      <c r="Q22" s="3316"/>
      <c r="R22" s="716">
        <f ca="1">ROUND(S22*10000/B22,0)</f>
        <v>15439</v>
      </c>
      <c r="S22" s="24">
        <f ca="1">SUM(S24:S10000)</f>
        <v>23524</v>
      </c>
      <c r="T22" s="795">
        <f ca="1">B20+'典型户型修正 (下)'!B20</f>
        <v>37302</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thickBot="1">
      <c r="A24" s="718" t="s">
        <v>3034</v>
      </c>
      <c r="B24" s="2996">
        <v>126.55</v>
      </c>
      <c r="C24" s="719">
        <v>1</v>
      </c>
      <c r="D24" s="720"/>
      <c r="E24" s="719">
        <v>1</v>
      </c>
      <c r="F24" s="720"/>
      <c r="G24" s="719">
        <v>1</v>
      </c>
      <c r="H24" s="720"/>
      <c r="I24" s="719">
        <v>1</v>
      </c>
      <c r="J24" s="720"/>
      <c r="K24" s="719">
        <v>1</v>
      </c>
      <c r="L24" s="720"/>
      <c r="M24" s="719">
        <v>1</v>
      </c>
      <c r="N24" s="720"/>
      <c r="O24" s="719">
        <v>1</v>
      </c>
      <c r="P24" s="720" t="s">
        <v>3912</v>
      </c>
      <c r="Q24" s="719">
        <v>1</v>
      </c>
      <c r="R24" s="721">
        <f ca="1">结果表!G20</f>
        <v>16858</v>
      </c>
      <c r="S24" s="719">
        <f t="shared" ref="S24:S54" ca="1" si="11">ROUND(R24*B24/10000,0)</f>
        <v>213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5" thickBot="1">
      <c r="A25" s="159"/>
      <c r="B25" s="2996">
        <v>126.55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3912</v>
      </c>
      <c r="Q25" s="24">
        <f>(SUMIF($17:$17,P25,$18:$18)-SUMIF($17:$17,$P$24,$18:$18)+100)/100</f>
        <v>1</v>
      </c>
      <c r="R25" s="716">
        <f ca="1">IF(B25="",0,ROUND($R$24*C25*E25*G25*I25*K25*M25*O25*Q25,0))</f>
        <v>16858</v>
      </c>
      <c r="S25" s="361">
        <f t="shared" ca="1" si="11"/>
        <v>213</v>
      </c>
    </row>
    <row r="26" spans="1:45" ht="13.5" thickBot="1">
      <c r="A26" s="159"/>
      <c r="B26" s="2996">
        <v>71.84</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3914</v>
      </c>
      <c r="Q26" s="24">
        <f t="shared" ref="Q26:Q89" si="19">(SUMIF($17:$17,P26,$18:$18)-SUMIF($17:$17,$P$24,$18:$18)+100)/100</f>
        <v>0.8</v>
      </c>
      <c r="R26" s="716">
        <f t="shared" ref="R26:R89" ca="1" si="20">IF(B26="",0,ROUND($R$24*C26*E26*G26*I26*K26*M26*O26*Q26,0))</f>
        <v>13756</v>
      </c>
      <c r="S26" s="361">
        <f t="shared" ca="1" si="11"/>
        <v>99</v>
      </c>
    </row>
    <row r="27" spans="1:45" ht="13.5" thickBot="1">
      <c r="A27" s="159"/>
      <c r="B27" s="2996">
        <v>62.3</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3914</v>
      </c>
      <c r="Q27" s="24">
        <f t="shared" si="19"/>
        <v>0.8</v>
      </c>
      <c r="R27" s="716">
        <f t="shared" ca="1" si="20"/>
        <v>13756</v>
      </c>
      <c r="S27" s="361">
        <f t="shared" ca="1" si="11"/>
        <v>86</v>
      </c>
    </row>
    <row r="28" spans="1:45" ht="13.5" thickBot="1">
      <c r="A28" s="159"/>
      <c r="B28" s="2996">
        <v>62.3</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3914</v>
      </c>
      <c r="Q28" s="24">
        <f t="shared" si="19"/>
        <v>0.8</v>
      </c>
      <c r="R28" s="716">
        <f t="shared" ca="1" si="20"/>
        <v>13756</v>
      </c>
      <c r="S28" s="361">
        <f t="shared" ca="1" si="11"/>
        <v>86</v>
      </c>
    </row>
    <row r="29" spans="1:45" ht="13.5" thickBot="1">
      <c r="A29" s="159"/>
      <c r="B29" s="2996">
        <v>186.97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3912</v>
      </c>
      <c r="Q29" s="24">
        <f t="shared" si="19"/>
        <v>1</v>
      </c>
      <c r="R29" s="716">
        <f t="shared" ca="1" si="20"/>
        <v>16858</v>
      </c>
      <c r="S29" s="361">
        <f t="shared" ca="1" si="11"/>
        <v>315</v>
      </c>
    </row>
    <row r="30" spans="1:45" ht="13.5" thickBot="1">
      <c r="A30" s="159"/>
      <c r="B30" s="2996">
        <v>659.99</v>
      </c>
      <c r="C30" s="24">
        <f t="shared" si="12"/>
        <v>0.96</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3919</v>
      </c>
      <c r="Q30" s="24">
        <f t="shared" si="19"/>
        <v>0.75</v>
      </c>
      <c r="R30" s="716">
        <f t="shared" ca="1" si="20"/>
        <v>12138</v>
      </c>
      <c r="S30" s="361">
        <f t="shared" ca="1" si="11"/>
        <v>801</v>
      </c>
    </row>
    <row r="31" spans="1:45" ht="13.5" thickBot="1">
      <c r="A31" s="159"/>
      <c r="B31" s="2997">
        <v>186.97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3914</v>
      </c>
      <c r="Q31" s="24">
        <f t="shared" si="19"/>
        <v>0.8</v>
      </c>
      <c r="R31" s="716">
        <f t="shared" ca="1" si="20"/>
        <v>13486</v>
      </c>
      <c r="S31" s="361">
        <f t="shared" ca="1" si="11"/>
        <v>252</v>
      </c>
    </row>
    <row r="32" spans="1:45" ht="13.5" thickBot="1">
      <c r="A32" s="159"/>
      <c r="B32" s="2996">
        <v>186.97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3912</v>
      </c>
      <c r="Q32" s="24">
        <f t="shared" si="19"/>
        <v>1</v>
      </c>
      <c r="R32" s="716">
        <f t="shared" ca="1" si="20"/>
        <v>16858</v>
      </c>
      <c r="S32" s="361">
        <f t="shared" ca="1" si="11"/>
        <v>315</v>
      </c>
    </row>
    <row r="33" spans="1:19" ht="13.5" thickBot="1">
      <c r="A33" s="159"/>
      <c r="B33" s="2996">
        <v>216.99</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3912</v>
      </c>
      <c r="Q33" s="24">
        <f t="shared" si="19"/>
        <v>1</v>
      </c>
      <c r="R33" s="716">
        <f t="shared" ca="1" si="20"/>
        <v>16858</v>
      </c>
      <c r="S33" s="361">
        <f t="shared" ca="1" si="11"/>
        <v>366</v>
      </c>
    </row>
    <row r="34" spans="1:19" ht="13.5" thickBot="1">
      <c r="A34" s="159"/>
      <c r="B34" s="2996">
        <v>79.53</v>
      </c>
      <c r="C34" s="24">
        <f t="shared" si="12"/>
        <v>1.02</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3914</v>
      </c>
      <c r="Q34" s="24">
        <f t="shared" si="19"/>
        <v>0.8</v>
      </c>
      <c r="R34" s="716">
        <f t="shared" ca="1" si="20"/>
        <v>13756</v>
      </c>
      <c r="S34" s="361">
        <f t="shared" ca="1" si="11"/>
        <v>109</v>
      </c>
    </row>
    <row r="35" spans="1:19" ht="13.5" thickBot="1">
      <c r="A35" s="159"/>
      <c r="B35" s="2996">
        <v>274.88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3912</v>
      </c>
      <c r="Q35" s="24">
        <f t="shared" si="19"/>
        <v>1</v>
      </c>
      <c r="R35" s="716">
        <f t="shared" ca="1" si="20"/>
        <v>16858</v>
      </c>
      <c r="S35" s="361">
        <f t="shared" ca="1" si="11"/>
        <v>463</v>
      </c>
    </row>
    <row r="36" spans="1:19" ht="13.5" thickBot="1">
      <c r="A36" s="159"/>
      <c r="B36" s="2996">
        <v>271</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3912</v>
      </c>
      <c r="Q36" s="24">
        <f t="shared" si="19"/>
        <v>1</v>
      </c>
      <c r="R36" s="716">
        <f t="shared" ca="1" si="20"/>
        <v>16858</v>
      </c>
      <c r="S36" s="361">
        <f t="shared" ca="1" si="11"/>
        <v>457</v>
      </c>
    </row>
    <row r="37" spans="1:19" ht="13.5" thickBot="1">
      <c r="A37" s="159"/>
      <c r="B37" s="2996">
        <v>104.32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3912</v>
      </c>
      <c r="Q37" s="24">
        <f t="shared" si="19"/>
        <v>1</v>
      </c>
      <c r="R37" s="716">
        <f t="shared" ca="1" si="20"/>
        <v>16858</v>
      </c>
      <c r="S37" s="361">
        <f t="shared" ca="1" si="11"/>
        <v>176</v>
      </c>
    </row>
    <row r="38" spans="1:19" ht="13.5" thickBot="1">
      <c r="A38" s="159"/>
      <c r="B38" s="2996">
        <v>121.67</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3912</v>
      </c>
      <c r="Q38" s="24">
        <f t="shared" si="19"/>
        <v>1</v>
      </c>
      <c r="R38" s="716">
        <f t="shared" ca="1" si="20"/>
        <v>16858</v>
      </c>
      <c r="S38" s="361">
        <f t="shared" ca="1" si="11"/>
        <v>205</v>
      </c>
    </row>
    <row r="39" spans="1:19" ht="13.5" thickBot="1">
      <c r="A39" s="159"/>
      <c r="B39" s="2996">
        <v>73.27</v>
      </c>
      <c r="C39" s="24">
        <f t="shared" si="12"/>
        <v>1.02</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3912</v>
      </c>
      <c r="Q39" s="24">
        <f t="shared" si="19"/>
        <v>1</v>
      </c>
      <c r="R39" s="716">
        <f t="shared" ca="1" si="20"/>
        <v>17195</v>
      </c>
      <c r="S39" s="361">
        <f t="shared" ca="1" si="11"/>
        <v>126</v>
      </c>
    </row>
    <row r="40" spans="1:19" ht="13.5" thickBot="1">
      <c r="A40" s="159"/>
      <c r="B40" s="2996">
        <v>76.67</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3912</v>
      </c>
      <c r="Q40" s="24">
        <f t="shared" si="19"/>
        <v>1</v>
      </c>
      <c r="R40" s="716">
        <f t="shared" ca="1" si="20"/>
        <v>17195</v>
      </c>
      <c r="S40" s="361">
        <f t="shared" ca="1" si="11"/>
        <v>132</v>
      </c>
    </row>
    <row r="41" spans="1:19" ht="13.5" thickBot="1">
      <c r="A41" s="159"/>
      <c r="B41" s="2996">
        <v>76.67</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3912</v>
      </c>
      <c r="Q41" s="24">
        <f t="shared" si="19"/>
        <v>1</v>
      </c>
      <c r="R41" s="716">
        <f t="shared" ca="1" si="20"/>
        <v>17195</v>
      </c>
      <c r="S41" s="361">
        <f t="shared" ca="1" si="11"/>
        <v>132</v>
      </c>
    </row>
    <row r="42" spans="1:19" ht="13.5" thickBot="1">
      <c r="A42" s="159"/>
      <c r="B42" s="2996">
        <v>76.67</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3912</v>
      </c>
      <c r="Q42" s="24">
        <f t="shared" si="19"/>
        <v>1</v>
      </c>
      <c r="R42" s="716">
        <f t="shared" ca="1" si="20"/>
        <v>17195</v>
      </c>
      <c r="S42" s="361">
        <f t="shared" ca="1" si="11"/>
        <v>132</v>
      </c>
    </row>
    <row r="43" spans="1:19" ht="13.5" thickBot="1">
      <c r="A43" s="159"/>
      <c r="B43" s="2996">
        <v>76.67</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3912</v>
      </c>
      <c r="Q43" s="24">
        <f t="shared" si="19"/>
        <v>1</v>
      </c>
      <c r="R43" s="716">
        <f t="shared" ca="1" si="20"/>
        <v>17195</v>
      </c>
      <c r="S43" s="361">
        <f t="shared" ca="1" si="11"/>
        <v>132</v>
      </c>
    </row>
    <row r="44" spans="1:19" ht="13.5" thickBot="1">
      <c r="A44" s="159"/>
      <c r="B44" s="2996">
        <v>80.08</v>
      </c>
      <c r="C44" s="24">
        <f t="shared" si="12"/>
        <v>1.02</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3912</v>
      </c>
      <c r="Q44" s="24">
        <f t="shared" si="19"/>
        <v>1</v>
      </c>
      <c r="R44" s="716">
        <f t="shared" ca="1" si="20"/>
        <v>17195</v>
      </c>
      <c r="S44" s="361">
        <f t="shared" ca="1" si="11"/>
        <v>138</v>
      </c>
    </row>
    <row r="45" spans="1:19" ht="13.5" thickBot="1">
      <c r="A45" s="159"/>
      <c r="B45" s="2996">
        <v>101.79</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3912</v>
      </c>
      <c r="Q45" s="24">
        <f t="shared" si="19"/>
        <v>1</v>
      </c>
      <c r="R45" s="716">
        <f t="shared" ca="1" si="20"/>
        <v>16858</v>
      </c>
      <c r="S45" s="361">
        <f t="shared" ca="1" si="11"/>
        <v>172</v>
      </c>
    </row>
    <row r="46" spans="1:19" ht="13.5" thickBot="1">
      <c r="A46" s="159"/>
      <c r="B46" s="2998">
        <v>342.37</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3912</v>
      </c>
      <c r="Q46" s="24">
        <f t="shared" si="19"/>
        <v>1</v>
      </c>
      <c r="R46" s="716">
        <f t="shared" ca="1" si="20"/>
        <v>16521</v>
      </c>
      <c r="S46" s="361">
        <f t="shared" ca="1" si="11"/>
        <v>566</v>
      </c>
    </row>
    <row r="47" spans="1:19" ht="13.5" thickBot="1">
      <c r="A47" s="159"/>
      <c r="B47" s="2996">
        <v>84.99</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3914</v>
      </c>
      <c r="Q47" s="24">
        <f t="shared" si="19"/>
        <v>0.8</v>
      </c>
      <c r="R47" s="716">
        <f t="shared" ca="1" si="20"/>
        <v>13756</v>
      </c>
      <c r="S47" s="361">
        <f t="shared" ca="1" si="11"/>
        <v>117</v>
      </c>
    </row>
    <row r="48" spans="1:19" ht="13.5" thickBot="1">
      <c r="A48" s="159"/>
      <c r="B48" s="2996">
        <v>107.22</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3914</v>
      </c>
      <c r="Q48" s="24">
        <f t="shared" si="19"/>
        <v>0.8</v>
      </c>
      <c r="R48" s="716">
        <f t="shared" ca="1" si="20"/>
        <v>13486</v>
      </c>
      <c r="S48" s="361">
        <f t="shared" ca="1" si="11"/>
        <v>145</v>
      </c>
    </row>
    <row r="49" spans="1:19" ht="13.5" thickBot="1">
      <c r="A49" s="159"/>
      <c r="B49" s="2996">
        <v>66.13</v>
      </c>
      <c r="C49" s="24">
        <f t="shared" si="12"/>
        <v>1.02</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3914</v>
      </c>
      <c r="Q49" s="24">
        <f t="shared" si="19"/>
        <v>0.8</v>
      </c>
      <c r="R49" s="716">
        <f t="shared" ca="1" si="20"/>
        <v>13756</v>
      </c>
      <c r="S49" s="361">
        <f t="shared" ca="1" si="11"/>
        <v>91</v>
      </c>
    </row>
    <row r="50" spans="1:19" ht="13.5" thickBot="1">
      <c r="A50" s="159"/>
      <c r="B50" s="2996">
        <v>69.22</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3914</v>
      </c>
      <c r="Q50" s="24">
        <f t="shared" si="19"/>
        <v>0.8</v>
      </c>
      <c r="R50" s="716">
        <f t="shared" ca="1" si="20"/>
        <v>13756</v>
      </c>
      <c r="S50" s="361">
        <f t="shared" ca="1" si="11"/>
        <v>95</v>
      </c>
    </row>
    <row r="51" spans="1:19" ht="13.5" thickBot="1">
      <c r="A51" s="159"/>
      <c r="B51" s="2996">
        <v>69.22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3914</v>
      </c>
      <c r="Q51" s="24">
        <f t="shared" si="19"/>
        <v>0.8</v>
      </c>
      <c r="R51" s="716">
        <f t="shared" ca="1" si="20"/>
        <v>13756</v>
      </c>
      <c r="S51" s="361">
        <f t="shared" ca="1" si="11"/>
        <v>95</v>
      </c>
    </row>
    <row r="52" spans="1:19" ht="13.5" thickBot="1">
      <c r="A52" s="159"/>
      <c r="B52" s="2996">
        <v>69.22</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3914</v>
      </c>
      <c r="Q52" s="24">
        <f t="shared" si="19"/>
        <v>0.8</v>
      </c>
      <c r="R52" s="716">
        <f t="shared" ca="1" si="20"/>
        <v>13756</v>
      </c>
      <c r="S52" s="361">
        <f t="shared" ca="1" si="11"/>
        <v>95</v>
      </c>
    </row>
    <row r="53" spans="1:19" ht="13.5" thickBot="1">
      <c r="A53" s="159"/>
      <c r="B53" s="2996">
        <v>69.22</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3914</v>
      </c>
      <c r="Q53" s="24">
        <f t="shared" si="19"/>
        <v>0.8</v>
      </c>
      <c r="R53" s="716">
        <f t="shared" ca="1" si="20"/>
        <v>13756</v>
      </c>
      <c r="S53" s="361">
        <f t="shared" ca="1" si="11"/>
        <v>95</v>
      </c>
    </row>
    <row r="54" spans="1:19" ht="13.5" thickBot="1">
      <c r="A54" s="159"/>
      <c r="B54" s="2996">
        <v>72.319999999999993</v>
      </c>
      <c r="C54" s="24">
        <f t="shared" si="12"/>
        <v>1.02</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3914</v>
      </c>
      <c r="Q54" s="24">
        <f t="shared" si="19"/>
        <v>0.8</v>
      </c>
      <c r="R54" s="716">
        <f t="shared" ca="1" si="20"/>
        <v>13756</v>
      </c>
      <c r="S54" s="361">
        <f t="shared" ca="1" si="11"/>
        <v>99</v>
      </c>
    </row>
    <row r="55" spans="1:19" ht="13.5" thickBot="1">
      <c r="A55" s="159"/>
      <c r="B55" s="2996">
        <v>84.12</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3914</v>
      </c>
      <c r="Q55" s="24">
        <f t="shared" si="19"/>
        <v>0.8</v>
      </c>
      <c r="R55" s="716">
        <f t="shared" ca="1" si="20"/>
        <v>13756</v>
      </c>
      <c r="S55" s="361">
        <f t="shared" ref="S55:S77" ca="1" si="21">ROUND(R55*B55/10000,0)</f>
        <v>116</v>
      </c>
    </row>
    <row r="56" spans="1:19" ht="13.5" thickBot="1">
      <c r="A56" s="159"/>
      <c r="B56" s="2996">
        <v>88.75</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3914</v>
      </c>
      <c r="Q56" s="24">
        <f t="shared" si="19"/>
        <v>0.8</v>
      </c>
      <c r="R56" s="716">
        <f t="shared" ca="1" si="20"/>
        <v>13756</v>
      </c>
      <c r="S56" s="361">
        <f t="shared" ca="1" si="21"/>
        <v>122</v>
      </c>
    </row>
    <row r="57" spans="1:19" ht="13.5" thickBot="1">
      <c r="A57" s="159"/>
      <c r="B57" s="2996">
        <v>90.79</v>
      </c>
      <c r="C57" s="24">
        <f t="shared" si="12"/>
        <v>1.02</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3914</v>
      </c>
      <c r="Q57" s="24">
        <f t="shared" si="19"/>
        <v>0.8</v>
      </c>
      <c r="R57" s="716">
        <f t="shared" ca="1" si="20"/>
        <v>13756</v>
      </c>
      <c r="S57" s="361">
        <f t="shared" ca="1" si="21"/>
        <v>125</v>
      </c>
    </row>
    <row r="58" spans="1:19" ht="13.5" thickBot="1">
      <c r="A58" s="159"/>
      <c r="B58" s="2996">
        <v>137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3913</v>
      </c>
      <c r="Q58" s="24">
        <f t="shared" si="19"/>
        <v>0.75</v>
      </c>
      <c r="R58" s="716">
        <f t="shared" ca="1" si="20"/>
        <v>12644</v>
      </c>
      <c r="S58" s="361">
        <f t="shared" ca="1" si="21"/>
        <v>173</v>
      </c>
    </row>
    <row r="59" spans="1:19" ht="13.5" thickBot="1">
      <c r="A59" s="159"/>
      <c r="B59" s="2996">
        <v>102.13</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3913</v>
      </c>
      <c r="Q59" s="24">
        <f t="shared" si="19"/>
        <v>0.75</v>
      </c>
      <c r="R59" s="716">
        <f t="shared" ca="1" si="20"/>
        <v>12644</v>
      </c>
      <c r="S59" s="361">
        <f t="shared" ca="1" si="21"/>
        <v>129</v>
      </c>
    </row>
    <row r="60" spans="1:19" ht="13.5" thickBot="1">
      <c r="A60" s="159"/>
      <c r="B60" s="2996">
        <v>74.22</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3913</v>
      </c>
      <c r="Q60" s="24">
        <f t="shared" si="19"/>
        <v>0.75</v>
      </c>
      <c r="R60" s="716">
        <f t="shared" ca="1" si="20"/>
        <v>12896</v>
      </c>
      <c r="S60" s="361">
        <f t="shared" ca="1" si="21"/>
        <v>96</v>
      </c>
    </row>
    <row r="61" spans="1:19" ht="13.5" thickBot="1">
      <c r="A61" s="159"/>
      <c r="B61" s="2996">
        <v>75.05</v>
      </c>
      <c r="C61" s="24">
        <f t="shared" si="12"/>
        <v>1.02</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3913</v>
      </c>
      <c r="Q61" s="24">
        <f t="shared" si="19"/>
        <v>0.75</v>
      </c>
      <c r="R61" s="716">
        <f t="shared" ca="1" si="20"/>
        <v>12896</v>
      </c>
      <c r="S61" s="361">
        <f t="shared" ca="1" si="21"/>
        <v>97</v>
      </c>
    </row>
    <row r="62" spans="1:19" ht="13.5" thickBot="1">
      <c r="A62" s="159"/>
      <c r="B62" s="2996">
        <v>109.78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3913</v>
      </c>
      <c r="Q62" s="24">
        <f t="shared" si="19"/>
        <v>0.75</v>
      </c>
      <c r="R62" s="716">
        <f t="shared" ca="1" si="20"/>
        <v>12644</v>
      </c>
      <c r="S62" s="361">
        <f t="shared" ca="1" si="21"/>
        <v>139</v>
      </c>
    </row>
    <row r="63" spans="1:19" ht="13.5" thickBot="1">
      <c r="A63" s="159"/>
      <c r="B63" s="2996">
        <v>61.63</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3912</v>
      </c>
      <c r="Q63" s="24">
        <f t="shared" si="19"/>
        <v>1</v>
      </c>
      <c r="R63" s="716">
        <f t="shared" ca="1" si="20"/>
        <v>17195</v>
      </c>
      <c r="S63" s="361">
        <f t="shared" ca="1" si="21"/>
        <v>106</v>
      </c>
    </row>
    <row r="64" spans="1:19" ht="13.5" thickBot="1">
      <c r="A64" s="159"/>
      <c r="B64" s="2998">
        <v>267.58999999999997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3912</v>
      </c>
      <c r="Q64" s="24">
        <f t="shared" si="19"/>
        <v>1</v>
      </c>
      <c r="R64" s="716">
        <f t="shared" ca="1" si="20"/>
        <v>16858</v>
      </c>
      <c r="S64" s="361">
        <f t="shared" ca="1" si="21"/>
        <v>451</v>
      </c>
    </row>
    <row r="65" spans="1:19" ht="13.5" thickBot="1">
      <c r="A65" s="159"/>
      <c r="B65" s="2998">
        <v>267.58999999999997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3912</v>
      </c>
      <c r="Q65" s="24">
        <f t="shared" si="19"/>
        <v>1</v>
      </c>
      <c r="R65" s="716">
        <f t="shared" ca="1" si="20"/>
        <v>16858</v>
      </c>
      <c r="S65" s="361">
        <f t="shared" ca="1" si="21"/>
        <v>451</v>
      </c>
    </row>
    <row r="66" spans="1:19" ht="13.5" thickBot="1">
      <c r="A66" s="159"/>
      <c r="B66" s="2998">
        <v>231.68</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3912</v>
      </c>
      <c r="Q66" s="24">
        <f t="shared" si="19"/>
        <v>1</v>
      </c>
      <c r="R66" s="716">
        <f t="shared" ca="1" si="20"/>
        <v>16858</v>
      </c>
      <c r="S66" s="361">
        <f t="shared" ca="1" si="21"/>
        <v>391</v>
      </c>
    </row>
    <row r="67" spans="1:19" ht="13.5" thickBot="1">
      <c r="A67" s="159"/>
      <c r="B67" s="2998">
        <v>231.68</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3912</v>
      </c>
      <c r="Q67" s="24">
        <f t="shared" si="19"/>
        <v>1</v>
      </c>
      <c r="R67" s="716">
        <f t="shared" ca="1" si="20"/>
        <v>16858</v>
      </c>
      <c r="S67" s="361">
        <f t="shared" ca="1" si="21"/>
        <v>391</v>
      </c>
    </row>
    <row r="68" spans="1:19" ht="13.5" thickBot="1">
      <c r="A68" s="159"/>
      <c r="B68" s="2998">
        <v>237.41</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3912</v>
      </c>
      <c r="Q68" s="24">
        <f t="shared" si="19"/>
        <v>1</v>
      </c>
      <c r="R68" s="716">
        <f t="shared" ca="1" si="20"/>
        <v>16858</v>
      </c>
      <c r="S68" s="361">
        <f t="shared" ca="1" si="21"/>
        <v>400</v>
      </c>
    </row>
    <row r="69" spans="1:19" ht="13.5" thickBot="1">
      <c r="A69" s="159"/>
      <c r="B69" s="2998">
        <v>227.69</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3912</v>
      </c>
      <c r="Q69" s="24">
        <f t="shared" si="19"/>
        <v>1</v>
      </c>
      <c r="R69" s="716">
        <f t="shared" ca="1" si="20"/>
        <v>16858</v>
      </c>
      <c r="S69" s="361">
        <f t="shared" ca="1" si="21"/>
        <v>384</v>
      </c>
    </row>
    <row r="70" spans="1:19" ht="13.5" thickBot="1">
      <c r="A70" s="159"/>
      <c r="B70" s="2998">
        <v>227.69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3912</v>
      </c>
      <c r="Q70" s="24">
        <f t="shared" si="19"/>
        <v>1</v>
      </c>
      <c r="R70" s="716">
        <f t="shared" ca="1" si="20"/>
        <v>16858</v>
      </c>
      <c r="S70" s="361">
        <f t="shared" ca="1" si="21"/>
        <v>384</v>
      </c>
    </row>
    <row r="71" spans="1:19" ht="13.5" thickBot="1">
      <c r="A71" s="159"/>
      <c r="B71" s="2998">
        <v>237.41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3912</v>
      </c>
      <c r="Q71" s="24">
        <f t="shared" si="19"/>
        <v>1</v>
      </c>
      <c r="R71" s="716">
        <f t="shared" ca="1" si="20"/>
        <v>16858</v>
      </c>
      <c r="S71" s="361">
        <f t="shared" ca="1" si="21"/>
        <v>400</v>
      </c>
    </row>
    <row r="72" spans="1:19" ht="13.5" thickBot="1">
      <c r="A72" s="159"/>
      <c r="B72" s="2998">
        <v>233.13</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3912</v>
      </c>
      <c r="Q72" s="24">
        <f t="shared" si="19"/>
        <v>1</v>
      </c>
      <c r="R72" s="716">
        <f t="shared" ca="1" si="20"/>
        <v>16858</v>
      </c>
      <c r="S72" s="361">
        <f t="shared" ca="1" si="21"/>
        <v>393</v>
      </c>
    </row>
    <row r="73" spans="1:19" ht="13.5" thickBot="1">
      <c r="A73" s="159"/>
      <c r="B73" s="2998">
        <v>233.54</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3912</v>
      </c>
      <c r="Q73" s="24">
        <f t="shared" si="19"/>
        <v>1</v>
      </c>
      <c r="R73" s="716">
        <f t="shared" ca="1" si="20"/>
        <v>16858</v>
      </c>
      <c r="S73" s="361">
        <f t="shared" ca="1" si="21"/>
        <v>394</v>
      </c>
    </row>
    <row r="74" spans="1:19" ht="13.5" thickBot="1">
      <c r="A74" s="159"/>
      <c r="B74" s="2998">
        <v>267.25</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3912</v>
      </c>
      <c r="Q74" s="24">
        <f t="shared" si="19"/>
        <v>1</v>
      </c>
      <c r="R74" s="716">
        <f t="shared" ca="1" si="20"/>
        <v>16858</v>
      </c>
      <c r="S74" s="361">
        <f t="shared" ca="1" si="21"/>
        <v>451</v>
      </c>
    </row>
    <row r="75" spans="1:19" ht="13.5" thickBot="1">
      <c r="A75" s="159"/>
      <c r="B75" s="2998">
        <v>291.3</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3912</v>
      </c>
      <c r="Q75" s="24">
        <f t="shared" si="19"/>
        <v>1</v>
      </c>
      <c r="R75" s="716">
        <f t="shared" ca="1" si="20"/>
        <v>16858</v>
      </c>
      <c r="S75" s="361">
        <f t="shared" ca="1" si="21"/>
        <v>491</v>
      </c>
    </row>
    <row r="76" spans="1:19" ht="13.5" thickBot="1">
      <c r="A76" s="159"/>
      <c r="B76" s="2996">
        <v>279.64999999999998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3912</v>
      </c>
      <c r="Q76" s="24">
        <f t="shared" si="19"/>
        <v>1</v>
      </c>
      <c r="R76" s="716">
        <f t="shared" ca="1" si="20"/>
        <v>16858</v>
      </c>
      <c r="S76" s="361">
        <f t="shared" ca="1" si="21"/>
        <v>471</v>
      </c>
    </row>
    <row r="77" spans="1:19" ht="13.5" thickBot="1">
      <c r="A77" s="159"/>
      <c r="B77" s="2996">
        <v>195.13</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3912</v>
      </c>
      <c r="Q77" s="24">
        <f t="shared" si="19"/>
        <v>1</v>
      </c>
      <c r="R77" s="716">
        <f t="shared" ca="1" si="20"/>
        <v>16858</v>
      </c>
      <c r="S77" s="361">
        <f t="shared" ca="1" si="21"/>
        <v>329</v>
      </c>
    </row>
    <row r="78" spans="1:19" ht="13.5" thickBot="1">
      <c r="A78" s="159"/>
      <c r="B78" s="2996">
        <v>199.54</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3912</v>
      </c>
      <c r="Q78" s="24">
        <f t="shared" si="19"/>
        <v>1</v>
      </c>
      <c r="R78" s="716">
        <f t="shared" ca="1" si="20"/>
        <v>16858</v>
      </c>
      <c r="S78" s="361">
        <f t="shared" ref="S78:S122" ca="1" si="22">ROUND(R78*B78/10000,0)</f>
        <v>336</v>
      </c>
    </row>
    <row r="79" spans="1:19" ht="13.5" thickBot="1">
      <c r="A79" s="159"/>
      <c r="B79" s="2996">
        <v>111.61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3912</v>
      </c>
      <c r="Q79" s="24">
        <f t="shared" si="19"/>
        <v>1</v>
      </c>
      <c r="R79" s="716">
        <f t="shared" ca="1" si="20"/>
        <v>16858</v>
      </c>
      <c r="S79" s="361">
        <f t="shared" ca="1" si="22"/>
        <v>188</v>
      </c>
    </row>
    <row r="80" spans="1:19" ht="13.5" thickBot="1">
      <c r="A80" s="159"/>
      <c r="B80" s="2996">
        <v>107.28</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3912</v>
      </c>
      <c r="Q80" s="24">
        <f t="shared" si="19"/>
        <v>1</v>
      </c>
      <c r="R80" s="716">
        <f t="shared" ca="1" si="20"/>
        <v>16858</v>
      </c>
      <c r="S80" s="361">
        <f t="shared" ca="1" si="22"/>
        <v>181</v>
      </c>
    </row>
    <row r="81" spans="1:19" ht="13.5" thickBot="1">
      <c r="A81" s="159"/>
      <c r="B81" s="2996">
        <v>120.91</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3912</v>
      </c>
      <c r="Q81" s="24">
        <f t="shared" si="19"/>
        <v>1</v>
      </c>
      <c r="R81" s="716">
        <f t="shared" ca="1" si="20"/>
        <v>16858</v>
      </c>
      <c r="S81" s="361">
        <f t="shared" ca="1" si="22"/>
        <v>204</v>
      </c>
    </row>
    <row r="82" spans="1:19" ht="13.5" thickBot="1">
      <c r="A82" s="159"/>
      <c r="B82" s="2996">
        <v>157.43</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3912</v>
      </c>
      <c r="Q82" s="24">
        <f t="shared" si="19"/>
        <v>1</v>
      </c>
      <c r="R82" s="716">
        <f t="shared" ca="1" si="20"/>
        <v>16858</v>
      </c>
      <c r="S82" s="361">
        <f t="shared" ca="1" si="22"/>
        <v>265</v>
      </c>
    </row>
    <row r="83" spans="1:19" ht="13.5" thickBot="1">
      <c r="A83" s="159"/>
      <c r="B83" s="2996">
        <v>130.88999999999999</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3912</v>
      </c>
      <c r="Q83" s="24">
        <f t="shared" si="19"/>
        <v>1</v>
      </c>
      <c r="R83" s="716">
        <f t="shared" ca="1" si="20"/>
        <v>16858</v>
      </c>
      <c r="S83" s="361">
        <f t="shared" ca="1" si="22"/>
        <v>221</v>
      </c>
    </row>
    <row r="84" spans="1:19" ht="13.5" thickBot="1">
      <c r="A84" s="159"/>
      <c r="B84" s="2996">
        <v>97.47</v>
      </c>
      <c r="C84" s="24">
        <f t="shared" si="12"/>
        <v>1.02</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3912</v>
      </c>
      <c r="Q84" s="24">
        <f t="shared" si="19"/>
        <v>1</v>
      </c>
      <c r="R84" s="716">
        <f t="shared" ca="1" si="20"/>
        <v>17195</v>
      </c>
      <c r="S84" s="361">
        <f t="shared" ca="1" si="22"/>
        <v>168</v>
      </c>
    </row>
    <row r="85" spans="1:19" ht="13.5" thickBot="1">
      <c r="A85" s="159"/>
      <c r="B85" s="2996">
        <v>88.85</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3912</v>
      </c>
      <c r="Q85" s="24">
        <f t="shared" si="19"/>
        <v>1</v>
      </c>
      <c r="R85" s="716">
        <f t="shared" ca="1" si="20"/>
        <v>17195</v>
      </c>
      <c r="S85" s="361">
        <f t="shared" ca="1" si="22"/>
        <v>153</v>
      </c>
    </row>
    <row r="86" spans="1:19" ht="13.5" thickBot="1">
      <c r="A86" s="159"/>
      <c r="B86" s="2996">
        <v>101.26</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3912</v>
      </c>
      <c r="Q86" s="24">
        <f t="shared" si="19"/>
        <v>1</v>
      </c>
      <c r="R86" s="716">
        <f t="shared" ca="1" si="20"/>
        <v>16858</v>
      </c>
      <c r="S86" s="361">
        <f t="shared" ca="1" si="22"/>
        <v>171</v>
      </c>
    </row>
    <row r="87" spans="1:19" ht="13.5" thickBot="1">
      <c r="A87" s="159"/>
      <c r="B87" s="2996">
        <v>101.64</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3912</v>
      </c>
      <c r="Q87" s="24">
        <f t="shared" si="19"/>
        <v>1</v>
      </c>
      <c r="R87" s="716">
        <f t="shared" ca="1" si="20"/>
        <v>16858</v>
      </c>
      <c r="S87" s="361">
        <f t="shared" ca="1" si="22"/>
        <v>171</v>
      </c>
    </row>
    <row r="88" spans="1:19" ht="13.5" thickBot="1">
      <c r="A88" s="159"/>
      <c r="B88" s="2996">
        <v>105.21</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3912</v>
      </c>
      <c r="Q88" s="24">
        <f t="shared" si="19"/>
        <v>1</v>
      </c>
      <c r="R88" s="716">
        <f t="shared" ca="1" si="20"/>
        <v>16858</v>
      </c>
      <c r="S88" s="361">
        <f t="shared" ca="1" si="22"/>
        <v>177</v>
      </c>
    </row>
    <row r="89" spans="1:19" ht="13.5" thickBot="1">
      <c r="A89" s="159"/>
      <c r="B89" s="2996">
        <v>107.14</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3912</v>
      </c>
      <c r="Q89" s="24">
        <f t="shared" si="19"/>
        <v>1</v>
      </c>
      <c r="R89" s="716">
        <f t="shared" ca="1" si="20"/>
        <v>16858</v>
      </c>
      <c r="S89" s="361">
        <f t="shared" ca="1" si="22"/>
        <v>181</v>
      </c>
    </row>
    <row r="90" spans="1:19" ht="13.5" thickBot="1">
      <c r="A90" s="159"/>
      <c r="B90" s="2996">
        <v>337.15</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3912</v>
      </c>
      <c r="Q90" s="24">
        <f t="shared" ref="Q90:Q153" si="30">(SUMIF($17:$17,P90,$18:$18)-SUMIF($17:$17,$P$24,$18:$18)+100)/100</f>
        <v>1</v>
      </c>
      <c r="R90" s="716">
        <f t="shared" ref="R90:R153" ca="1" si="31">IF(B90="",0,ROUND($R$24*C90*E90*G90*I90*K90*M90*O90*Q90,0))</f>
        <v>16521</v>
      </c>
      <c r="S90" s="361">
        <f t="shared" ca="1" si="22"/>
        <v>557</v>
      </c>
    </row>
    <row r="91" spans="1:19" ht="13.5" thickBot="1">
      <c r="A91" s="159"/>
      <c r="B91" s="2996">
        <v>310.25</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3912</v>
      </c>
      <c r="Q91" s="24">
        <f t="shared" si="30"/>
        <v>1</v>
      </c>
      <c r="R91" s="716">
        <f t="shared" ca="1" si="31"/>
        <v>16521</v>
      </c>
      <c r="S91" s="361">
        <f t="shared" ca="1" si="22"/>
        <v>513</v>
      </c>
    </row>
    <row r="92" spans="1:19" ht="13.5" thickBot="1">
      <c r="A92" s="159"/>
      <c r="B92" s="2996">
        <v>311.17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3912</v>
      </c>
      <c r="Q92" s="24">
        <f t="shared" si="30"/>
        <v>1</v>
      </c>
      <c r="R92" s="716">
        <f t="shared" ca="1" si="31"/>
        <v>16521</v>
      </c>
      <c r="S92" s="361">
        <f t="shared" ca="1" si="22"/>
        <v>514</v>
      </c>
    </row>
    <row r="93" spans="1:19" ht="13.5" thickBot="1">
      <c r="A93" s="159"/>
      <c r="B93" s="2996">
        <v>282.42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3912</v>
      </c>
      <c r="Q93" s="24">
        <f t="shared" si="30"/>
        <v>1</v>
      </c>
      <c r="R93" s="716">
        <f t="shared" ca="1" si="31"/>
        <v>16858</v>
      </c>
      <c r="S93" s="361">
        <f t="shared" ca="1" si="22"/>
        <v>476</v>
      </c>
    </row>
    <row r="94" spans="1:19" ht="13.5" thickBot="1">
      <c r="A94" s="159"/>
      <c r="B94" s="2996">
        <v>90.72</v>
      </c>
      <c r="C94" s="24">
        <f t="shared" si="23"/>
        <v>1.02</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3912</v>
      </c>
      <c r="Q94" s="24">
        <f t="shared" si="30"/>
        <v>1</v>
      </c>
      <c r="R94" s="716">
        <f t="shared" ca="1" si="31"/>
        <v>17195</v>
      </c>
      <c r="S94" s="361">
        <f t="shared" ca="1" si="22"/>
        <v>156</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v>1897.81</v>
      </c>
      <c r="C96" s="24">
        <f t="shared" si="23"/>
        <v>0.92</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3912</v>
      </c>
      <c r="Q96" s="24">
        <f t="shared" si="30"/>
        <v>1</v>
      </c>
      <c r="R96" s="716">
        <f t="shared" ca="1" si="31"/>
        <v>15509</v>
      </c>
      <c r="S96" s="361">
        <f t="shared" ca="1" si="22"/>
        <v>2943</v>
      </c>
    </row>
    <row r="97" spans="1:19">
      <c r="A97" s="159"/>
      <c r="B97" s="59">
        <v>519.39</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3912</v>
      </c>
      <c r="Q97" s="24">
        <f t="shared" si="30"/>
        <v>1</v>
      </c>
      <c r="R97" s="716">
        <f t="shared" ca="1" si="31"/>
        <v>16521</v>
      </c>
      <c r="S97" s="361">
        <f t="shared" ca="1" si="22"/>
        <v>858</v>
      </c>
    </row>
    <row r="98" spans="1:19">
      <c r="A98" s="159"/>
      <c r="B98" s="59">
        <v>1555.67</v>
      </c>
      <c r="C98" s="24">
        <f t="shared" si="23"/>
        <v>0.92</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3916</v>
      </c>
      <c r="Q98" s="24">
        <f t="shared" si="30"/>
        <v>0.7</v>
      </c>
      <c r="R98" s="716">
        <f t="shared" ca="1" si="31"/>
        <v>10857</v>
      </c>
      <c r="S98" s="361">
        <f t="shared" ca="1" si="22"/>
        <v>1689</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4"/>
      <c r="B4" s="3003" t="s">
        <v>1630</v>
      </c>
      <c r="C4" s="3003"/>
      <c r="D4" s="3003"/>
      <c r="E4" s="1964"/>
    </row>
    <row r="5" spans="1:5" ht="16.5" thickTop="1">
      <c r="A5" s="1962"/>
      <c r="B5" s="3001" t="s">
        <v>1622</v>
      </c>
      <c r="C5" s="1965" t="s">
        <v>1623</v>
      </c>
      <c r="D5" s="1043">
        <f ca="1">结果表!H101</f>
        <v>214</v>
      </c>
      <c r="E5" s="1962"/>
    </row>
    <row r="6" spans="1:5" ht="15.75">
      <c r="A6" s="1962"/>
      <c r="B6" s="3001"/>
      <c r="C6" s="1965" t="s">
        <v>1624</v>
      </c>
      <c r="D6" s="1043" t="str">
        <f ca="1">NUMBERSTRING(INT(D5*10000),2)&amp;"元整"</f>
        <v>贰佰壹拾肆万元整</v>
      </c>
      <c r="E6" s="1962"/>
    </row>
    <row r="7" spans="1:5" ht="15.75">
      <c r="A7" s="1962"/>
      <c r="B7" s="3006"/>
      <c r="C7" s="1966" t="s">
        <v>1625</v>
      </c>
      <c r="D7" s="1044">
        <f ca="1">结果表!H102</f>
        <v>85</v>
      </c>
      <c r="E7" s="1962"/>
    </row>
    <row r="8" spans="1:5" ht="15.75">
      <c r="A8" s="1962"/>
      <c r="B8" s="3007" t="str">
        <f>结果表!E103</f>
        <v>2.估价师知悉的法定优先受偿款</v>
      </c>
      <c r="C8" s="1967" t="s">
        <v>1626</v>
      </c>
      <c r="D8" s="1044">
        <f>结果表!H103</f>
        <v>0</v>
      </c>
      <c r="E8" s="1962"/>
    </row>
    <row r="9" spans="1:5" ht="15.75">
      <c r="A9" s="1962"/>
      <c r="B9" s="300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0" t="str">
        <f>结果表!E107</f>
        <v>3.房地产抵押价值</v>
      </c>
      <c r="C13" s="1970" t="s">
        <v>1623</v>
      </c>
      <c r="D13" s="1046">
        <f ca="1">结果表!H107</f>
        <v>214</v>
      </c>
      <c r="E13" s="1962"/>
    </row>
    <row r="14" spans="1:5" ht="15.75">
      <c r="A14" s="1962"/>
      <c r="B14" s="3001"/>
      <c r="C14" s="1965" t="s">
        <v>1624</v>
      </c>
      <c r="D14" s="1043" t="str">
        <f ca="1">NUMBERSTRING(INT(D13*10000),2)&amp;"元整"</f>
        <v>贰佰壹拾肆万元整</v>
      </c>
      <c r="E14" s="1962"/>
    </row>
    <row r="15" spans="1:5" ht="15">
      <c r="A15" s="1962"/>
      <c r="B15" s="3006"/>
      <c r="C15" s="1966" t="s">
        <v>1634</v>
      </c>
      <c r="D15" s="1055">
        <f ca="1">结果表!H108</f>
        <v>85</v>
      </c>
      <c r="E15" s="1962"/>
    </row>
    <row r="16" spans="1:5" ht="15">
      <c r="A16" s="1962"/>
      <c r="B16" s="3007" t="str">
        <f>结果表!E109</f>
        <v>——</v>
      </c>
      <c r="C16" s="1970" t="s">
        <v>1635</v>
      </c>
      <c r="D16" s="1971" t="str">
        <f>结果表!H109</f>
        <v>——</v>
      </c>
      <c r="E16" s="1962"/>
    </row>
    <row r="17" spans="1:5" ht="15.75">
      <c r="A17" s="1962"/>
      <c r="B17" s="3008"/>
      <c r="C17" s="1965" t="s">
        <v>1636</v>
      </c>
      <c r="D17" s="1043" t="e">
        <f>NUMBERSTRING(INT(D16*10000),2)&amp;"元整"</f>
        <v>#VALUE!</v>
      </c>
      <c r="E17" s="1962"/>
    </row>
    <row r="18" spans="1:5" ht="15">
      <c r="A18" s="1962"/>
      <c r="B18" s="3009"/>
      <c r="C18" s="1966" t="s">
        <v>1625</v>
      </c>
      <c r="D18" s="1055" t="str">
        <f>结果表!H110</f>
        <v>——</v>
      </c>
      <c r="E18" s="1962"/>
    </row>
    <row r="19" spans="1:5" ht="15.75">
      <c r="A19" s="1962"/>
      <c r="B19" s="3000" t="str">
        <f>结果表!E111</f>
        <v>——</v>
      </c>
      <c r="C19" s="1970" t="s">
        <v>1623</v>
      </c>
      <c r="D19" s="1044" t="str">
        <f>结果表!H111</f>
        <v>——</v>
      </c>
      <c r="E19" s="1962"/>
    </row>
    <row r="20" spans="1:5" ht="15.75">
      <c r="A20" s="1962"/>
      <c r="B20" s="3001"/>
      <c r="C20" s="1965" t="s">
        <v>1636</v>
      </c>
      <c r="D20" s="1043" t="e">
        <f>NUMBERSTRING(INT(D19*10000),2)&amp;"元整"</f>
        <v>#VALUE!</v>
      </c>
      <c r="E20" s="1962"/>
    </row>
    <row r="21" spans="1:5" ht="15.75" thickBot="1">
      <c r="A21" s="1962"/>
      <c r="B21" s="300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85" activePane="bottomLeft" state="frozen"/>
      <selection activeCell="C50" sqref="C50"/>
      <selection pane="bottomLeft" activeCell="U356" sqref="U35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317" t="s">
        <v>3013</v>
      </c>
      <c r="D1" s="3318"/>
      <c r="E1" s="3318"/>
      <c r="F1" s="3318"/>
      <c r="G1" s="3318"/>
      <c r="H1" s="3318"/>
      <c r="I1" s="3318"/>
      <c r="J1" s="3318"/>
      <c r="K1" s="3318"/>
      <c r="L1" s="3318"/>
      <c r="M1" s="3318"/>
      <c r="N1" s="3318"/>
      <c r="O1" s="3318"/>
      <c r="P1" s="3318"/>
      <c r="Q1" s="3318"/>
      <c r="R1" s="3318"/>
      <c r="S1" s="3319"/>
      <c r="T1" s="1207" t="s">
        <v>3014</v>
      </c>
    </row>
    <row r="2" spans="1:45" s="707" customFormat="1" ht="38.25">
      <c r="A2" s="1208"/>
      <c r="B2" s="703" t="s">
        <v>3015</v>
      </c>
      <c r="C2" s="704" t="str">
        <f t="shared" ref="C2:R2" si="0">C3&amp;"(含)"&amp;"-"&amp;D3</f>
        <v>0(含)-100</v>
      </c>
      <c r="D2" s="705" t="str">
        <f t="shared" si="0"/>
        <v>100(含)-300</v>
      </c>
      <c r="E2" s="705" t="str">
        <f t="shared" si="0"/>
        <v>300(含)-600</v>
      </c>
      <c r="F2" s="705" t="str">
        <f t="shared" si="0"/>
        <v>600(含)-900</v>
      </c>
      <c r="G2" s="705" t="str">
        <f t="shared" si="0"/>
        <v>900(含)-1200</v>
      </c>
      <c r="H2" s="705" t="str">
        <f t="shared" si="0"/>
        <v>1200(含)-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300</v>
      </c>
      <c r="F3" s="1707">
        <v>600</v>
      </c>
      <c r="G3" s="1707">
        <v>900</v>
      </c>
      <c r="H3" s="1707">
        <v>1200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3022</v>
      </c>
      <c r="B17" s="2923" t="s">
        <v>3023</v>
      </c>
      <c r="C17" s="1234" t="s">
        <v>3909</v>
      </c>
      <c r="D17" s="1235" t="s">
        <v>3910</v>
      </c>
      <c r="E17" s="1235" t="s">
        <v>3911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75</v>
      </c>
      <c r="E18" s="1247">
        <v>65</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3024</v>
      </c>
      <c r="E19" s="1795"/>
      <c r="F19" s="1795"/>
      <c r="G19" s="1795"/>
      <c r="H19" s="1283"/>
      <c r="I19" s="168"/>
      <c r="J19" s="168"/>
      <c r="K19" s="168"/>
      <c r="L19" s="168"/>
      <c r="M19" s="168"/>
      <c r="N19" s="168"/>
      <c r="O19" s="168"/>
      <c r="P19" s="168"/>
      <c r="Q19" s="168"/>
      <c r="R19" s="788"/>
      <c r="S19" s="138"/>
    </row>
    <row r="20" spans="1:45" ht="16.5" thickBot="1">
      <c r="A20" s="715" t="s">
        <v>3025</v>
      </c>
      <c r="B20" s="338">
        <f ca="1">IF(D20="——",S22,S22-F20)</f>
        <v>13778</v>
      </c>
      <c r="C20" s="168"/>
      <c r="D20" s="2925" t="s">
        <v>70</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 ca="1">R22</f>
        <v>13797</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9986.5800000000145</v>
      </c>
      <c r="C22" s="3180" t="s">
        <v>33</v>
      </c>
      <c r="D22" s="3181"/>
      <c r="E22" s="3181"/>
      <c r="F22" s="3181"/>
      <c r="G22" s="3181"/>
      <c r="H22" s="3181"/>
      <c r="I22" s="3181"/>
      <c r="J22" s="3181"/>
      <c r="K22" s="3181"/>
      <c r="L22" s="3181"/>
      <c r="M22" s="3181"/>
      <c r="N22" s="3181"/>
      <c r="O22" s="3181"/>
      <c r="P22" s="3181"/>
      <c r="Q22" s="3316"/>
      <c r="R22" s="716">
        <f ca="1">ROUND(S22*10000/B22,0)</f>
        <v>13797</v>
      </c>
      <c r="S22" s="24">
        <f ca="1">SUM(S24:S10000)</f>
        <v>13778</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f>抵押物清单!C81</f>
        <v>28.39</v>
      </c>
      <c r="C24" s="719">
        <v>1</v>
      </c>
      <c r="D24" s="720"/>
      <c r="E24" s="719">
        <v>1</v>
      </c>
      <c r="F24" s="720"/>
      <c r="G24" s="719">
        <v>1</v>
      </c>
      <c r="H24" s="720"/>
      <c r="I24" s="719">
        <v>1</v>
      </c>
      <c r="J24" s="720"/>
      <c r="K24" s="719">
        <v>1</v>
      </c>
      <c r="L24" s="720"/>
      <c r="M24" s="719">
        <v>1</v>
      </c>
      <c r="N24" s="720"/>
      <c r="O24" s="719">
        <v>1</v>
      </c>
      <c r="P24" s="720" t="s">
        <v>3912</v>
      </c>
      <c r="Q24" s="719">
        <v>1</v>
      </c>
      <c r="R24" s="721">
        <f ca="1">结果表!G20</f>
        <v>16858</v>
      </c>
      <c r="S24" s="719">
        <f t="shared" ref="S24:S87" ca="1" si="5">ROUND(R24*B24/10000,0)</f>
        <v>48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抵押物清单!C82</f>
        <v>25.61</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3912</v>
      </c>
      <c r="Q25" s="24">
        <f>(SUMIF($17:$17,P25,$18:$18)-SUMIF($17:$17,$P$24,$18:$18)+100)/100</f>
        <v>1</v>
      </c>
      <c r="R25" s="716">
        <f ca="1">IF(B25="",0,ROUND($R$24*C25*E25*G25*I25*K25*M25*O25*Q25,0))</f>
        <v>16858</v>
      </c>
      <c r="S25" s="361">
        <f t="shared" ca="1" si="5"/>
        <v>43</v>
      </c>
    </row>
    <row r="26" spans="1:45">
      <c r="A26" s="159"/>
      <c r="B26" s="59">
        <f>抵押物清单!C83</f>
        <v>25.61</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3912</v>
      </c>
      <c r="Q26" s="24">
        <f t="shared" ref="Q26:Q89" si="13">(SUMIF($17:$17,P26,$18:$18)-SUMIF($17:$17,$P$24,$18:$18)+100)/100</f>
        <v>1</v>
      </c>
      <c r="R26" s="716">
        <f t="shared" ref="R26:R89" ca="1" si="14">IF(B26="",0,ROUND($R$24*C26*E26*G26*I26*K26*M26*O26*Q26,0))</f>
        <v>16858</v>
      </c>
      <c r="S26" s="361">
        <f t="shared" ca="1" si="5"/>
        <v>43</v>
      </c>
    </row>
    <row r="27" spans="1:45">
      <c r="A27" s="159"/>
      <c r="B27" s="59">
        <f>抵押物清单!C84</f>
        <v>25.61</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3912</v>
      </c>
      <c r="Q27" s="24">
        <f t="shared" si="13"/>
        <v>1</v>
      </c>
      <c r="R27" s="716">
        <f t="shared" ca="1" si="14"/>
        <v>16858</v>
      </c>
      <c r="S27" s="361">
        <f t="shared" ca="1" si="5"/>
        <v>43</v>
      </c>
    </row>
    <row r="28" spans="1:45">
      <c r="A28" s="159"/>
      <c r="B28" s="59">
        <f>抵押物清单!C85</f>
        <v>25.61</v>
      </c>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3912</v>
      </c>
      <c r="Q28" s="24">
        <f t="shared" si="13"/>
        <v>1</v>
      </c>
      <c r="R28" s="716">
        <f t="shared" ca="1" si="14"/>
        <v>16858</v>
      </c>
      <c r="S28" s="361">
        <f t="shared" ca="1" si="5"/>
        <v>43</v>
      </c>
    </row>
    <row r="29" spans="1:45">
      <c r="A29" s="159"/>
      <c r="B29" s="59">
        <f>抵押物清单!C86</f>
        <v>28.39</v>
      </c>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3912</v>
      </c>
      <c r="Q29" s="24">
        <f t="shared" si="13"/>
        <v>1</v>
      </c>
      <c r="R29" s="716">
        <f t="shared" ca="1" si="14"/>
        <v>16858</v>
      </c>
      <c r="S29" s="361">
        <f t="shared" ca="1" si="5"/>
        <v>48</v>
      </c>
    </row>
    <row r="30" spans="1:45">
      <c r="A30" s="159"/>
      <c r="B30" s="59">
        <f>抵押物清单!C87</f>
        <v>25.61</v>
      </c>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3912</v>
      </c>
      <c r="Q30" s="24">
        <f t="shared" si="13"/>
        <v>1</v>
      </c>
      <c r="R30" s="716">
        <f t="shared" ca="1" si="14"/>
        <v>16858</v>
      </c>
      <c r="S30" s="361">
        <f t="shared" ca="1" si="5"/>
        <v>43</v>
      </c>
    </row>
    <row r="31" spans="1:45">
      <c r="A31" s="159"/>
      <c r="B31" s="59">
        <f>抵押物清单!C88</f>
        <v>25.61</v>
      </c>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t="s">
        <v>3912</v>
      </c>
      <c r="Q31" s="24">
        <f t="shared" si="13"/>
        <v>1</v>
      </c>
      <c r="R31" s="716">
        <f t="shared" ca="1" si="14"/>
        <v>16858</v>
      </c>
      <c r="S31" s="361">
        <f t="shared" ca="1" si="5"/>
        <v>43</v>
      </c>
    </row>
    <row r="32" spans="1:45">
      <c r="A32" s="159"/>
      <c r="B32" s="59">
        <f>抵押物清单!C89</f>
        <v>28.39</v>
      </c>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t="s">
        <v>3912</v>
      </c>
      <c r="Q32" s="24">
        <f t="shared" si="13"/>
        <v>1</v>
      </c>
      <c r="R32" s="716">
        <f t="shared" ca="1" si="14"/>
        <v>16858</v>
      </c>
      <c r="S32" s="361">
        <f t="shared" ca="1" si="5"/>
        <v>48</v>
      </c>
    </row>
    <row r="33" spans="1:19">
      <c r="A33" s="159"/>
      <c r="B33" s="59">
        <f>抵押物清单!C90</f>
        <v>28.39</v>
      </c>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t="s">
        <v>3912</v>
      </c>
      <c r="Q33" s="24">
        <f t="shared" si="13"/>
        <v>1</v>
      </c>
      <c r="R33" s="716">
        <f t="shared" ca="1" si="14"/>
        <v>16858</v>
      </c>
      <c r="S33" s="361">
        <f t="shared" ca="1" si="5"/>
        <v>48</v>
      </c>
    </row>
    <row r="34" spans="1:19">
      <c r="A34" s="159"/>
      <c r="B34" s="59">
        <f>抵押物清单!C91</f>
        <v>25.61</v>
      </c>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t="s">
        <v>3912</v>
      </c>
      <c r="Q34" s="24">
        <f t="shared" si="13"/>
        <v>1</v>
      </c>
      <c r="R34" s="716">
        <f t="shared" ca="1" si="14"/>
        <v>16858</v>
      </c>
      <c r="S34" s="361">
        <f t="shared" ca="1" si="5"/>
        <v>43</v>
      </c>
    </row>
    <row r="35" spans="1:19">
      <c r="A35" s="159"/>
      <c r="B35" s="59">
        <f>抵押物清单!C92</f>
        <v>25.61</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t="s">
        <v>3912</v>
      </c>
      <c r="Q35" s="24">
        <f t="shared" si="13"/>
        <v>1</v>
      </c>
      <c r="R35" s="716">
        <f t="shared" ca="1" si="14"/>
        <v>16858</v>
      </c>
      <c r="S35" s="361">
        <f t="shared" ca="1" si="5"/>
        <v>43</v>
      </c>
    </row>
    <row r="36" spans="1:19">
      <c r="A36" s="159"/>
      <c r="B36" s="59">
        <f>抵押物清单!C93</f>
        <v>31.76</v>
      </c>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t="s">
        <v>3912</v>
      </c>
      <c r="Q36" s="24">
        <f t="shared" si="13"/>
        <v>1</v>
      </c>
      <c r="R36" s="716">
        <f t="shared" ca="1" si="14"/>
        <v>16858</v>
      </c>
      <c r="S36" s="361">
        <f t="shared" ca="1" si="5"/>
        <v>54</v>
      </c>
    </row>
    <row r="37" spans="1:19">
      <c r="A37" s="159"/>
      <c r="B37" s="59">
        <f>抵押物清单!C94</f>
        <v>32.590000000000003</v>
      </c>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t="s">
        <v>3912</v>
      </c>
      <c r="Q37" s="24">
        <f t="shared" si="13"/>
        <v>1</v>
      </c>
      <c r="R37" s="716">
        <f t="shared" ca="1" si="14"/>
        <v>16858</v>
      </c>
      <c r="S37" s="361">
        <f t="shared" ca="1" si="5"/>
        <v>55</v>
      </c>
    </row>
    <row r="38" spans="1:19">
      <c r="A38" s="159"/>
      <c r="B38" s="59">
        <f>抵押物清单!C95</f>
        <v>46.7</v>
      </c>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t="s">
        <v>3912</v>
      </c>
      <c r="Q38" s="24">
        <f t="shared" si="13"/>
        <v>1</v>
      </c>
      <c r="R38" s="716">
        <f t="shared" ca="1" si="14"/>
        <v>16858</v>
      </c>
      <c r="S38" s="361">
        <f t="shared" ca="1" si="5"/>
        <v>79</v>
      </c>
    </row>
    <row r="39" spans="1:19">
      <c r="A39" s="159"/>
      <c r="B39" s="59">
        <f>抵押物清单!C96</f>
        <v>44.47</v>
      </c>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t="s">
        <v>3912</v>
      </c>
      <c r="Q39" s="24">
        <f t="shared" si="13"/>
        <v>1</v>
      </c>
      <c r="R39" s="716">
        <f t="shared" ca="1" si="14"/>
        <v>16858</v>
      </c>
      <c r="S39" s="361">
        <f t="shared" ca="1" si="5"/>
        <v>75</v>
      </c>
    </row>
    <row r="40" spans="1:19">
      <c r="A40" s="159"/>
      <c r="B40" s="59">
        <f>抵押物清单!C97</f>
        <v>49.26</v>
      </c>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t="s">
        <v>3912</v>
      </c>
      <c r="Q40" s="24">
        <f t="shared" si="13"/>
        <v>1</v>
      </c>
      <c r="R40" s="716">
        <f t="shared" ca="1" si="14"/>
        <v>16858</v>
      </c>
      <c r="S40" s="361">
        <f t="shared" ca="1" si="5"/>
        <v>83</v>
      </c>
    </row>
    <row r="41" spans="1:19">
      <c r="A41" s="159"/>
      <c r="B41" s="59">
        <f>抵押物清单!C98</f>
        <v>26.8</v>
      </c>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t="s">
        <v>3912</v>
      </c>
      <c r="Q41" s="24">
        <f t="shared" si="13"/>
        <v>1</v>
      </c>
      <c r="R41" s="716">
        <f t="shared" ca="1" si="14"/>
        <v>16858</v>
      </c>
      <c r="S41" s="361">
        <f t="shared" ca="1" si="5"/>
        <v>45</v>
      </c>
    </row>
    <row r="42" spans="1:19">
      <c r="A42" s="159"/>
      <c r="B42" s="59">
        <f>抵押物清单!C99</f>
        <v>28.06</v>
      </c>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t="s">
        <v>3912</v>
      </c>
      <c r="Q42" s="24">
        <f t="shared" si="13"/>
        <v>1</v>
      </c>
      <c r="R42" s="716">
        <f t="shared" ca="1" si="14"/>
        <v>16858</v>
      </c>
      <c r="S42" s="361">
        <f t="shared" ca="1" si="5"/>
        <v>47</v>
      </c>
    </row>
    <row r="43" spans="1:19">
      <c r="A43" s="159"/>
      <c r="B43" s="59">
        <f>抵押物清单!C100</f>
        <v>30.07</v>
      </c>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t="s">
        <v>3912</v>
      </c>
      <c r="Q43" s="24">
        <f t="shared" si="13"/>
        <v>1</v>
      </c>
      <c r="R43" s="716">
        <f t="shared" ca="1" si="14"/>
        <v>16858</v>
      </c>
      <c r="S43" s="361">
        <f t="shared" ca="1" si="5"/>
        <v>51</v>
      </c>
    </row>
    <row r="44" spans="1:19">
      <c r="A44" s="159"/>
      <c r="B44" s="59">
        <f>抵押物清单!C101</f>
        <v>30.07</v>
      </c>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t="s">
        <v>3912</v>
      </c>
      <c r="Q44" s="24">
        <f t="shared" si="13"/>
        <v>1</v>
      </c>
      <c r="R44" s="716">
        <f t="shared" ca="1" si="14"/>
        <v>16858</v>
      </c>
      <c r="S44" s="361">
        <f t="shared" ca="1" si="5"/>
        <v>51</v>
      </c>
    </row>
    <row r="45" spans="1:19">
      <c r="A45" s="159"/>
      <c r="B45" s="59">
        <f>抵押物清单!C102</f>
        <v>30.07</v>
      </c>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t="s">
        <v>3912</v>
      </c>
      <c r="Q45" s="24">
        <f t="shared" si="13"/>
        <v>1</v>
      </c>
      <c r="R45" s="716">
        <f t="shared" ca="1" si="14"/>
        <v>16858</v>
      </c>
      <c r="S45" s="361">
        <f t="shared" ca="1" si="5"/>
        <v>51</v>
      </c>
    </row>
    <row r="46" spans="1:19">
      <c r="A46" s="159"/>
      <c r="B46" s="59">
        <f>抵押物清单!C103</f>
        <v>30.07</v>
      </c>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t="s">
        <v>3912</v>
      </c>
      <c r="Q46" s="24">
        <f t="shared" si="13"/>
        <v>1</v>
      </c>
      <c r="R46" s="716">
        <f t="shared" ca="1" si="14"/>
        <v>16858</v>
      </c>
      <c r="S46" s="361">
        <f t="shared" ca="1" si="5"/>
        <v>51</v>
      </c>
    </row>
    <row r="47" spans="1:19">
      <c r="A47" s="159"/>
      <c r="B47" s="59">
        <f>抵押物清单!C104</f>
        <v>30.07</v>
      </c>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t="s">
        <v>3912</v>
      </c>
      <c r="Q47" s="24">
        <f t="shared" si="13"/>
        <v>1</v>
      </c>
      <c r="R47" s="716">
        <f t="shared" ca="1" si="14"/>
        <v>16858</v>
      </c>
      <c r="S47" s="361">
        <f t="shared" ca="1" si="5"/>
        <v>51</v>
      </c>
    </row>
    <row r="48" spans="1:19">
      <c r="A48" s="159"/>
      <c r="B48" s="59">
        <f>抵押物清单!C105</f>
        <v>30.07</v>
      </c>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t="s">
        <v>3912</v>
      </c>
      <c r="Q48" s="24">
        <f t="shared" si="13"/>
        <v>1</v>
      </c>
      <c r="R48" s="716">
        <f t="shared" ca="1" si="14"/>
        <v>16858</v>
      </c>
      <c r="S48" s="361">
        <f t="shared" ca="1" si="5"/>
        <v>51</v>
      </c>
    </row>
    <row r="49" spans="1:19">
      <c r="A49" s="159"/>
      <c r="B49" s="59">
        <f>抵押物清单!C106</f>
        <v>30.07</v>
      </c>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t="s">
        <v>3912</v>
      </c>
      <c r="Q49" s="24">
        <f t="shared" si="13"/>
        <v>1</v>
      </c>
      <c r="R49" s="716">
        <f t="shared" ca="1" si="14"/>
        <v>16858</v>
      </c>
      <c r="S49" s="361">
        <f t="shared" ca="1" si="5"/>
        <v>51</v>
      </c>
    </row>
    <row r="50" spans="1:19">
      <c r="A50" s="159"/>
      <c r="B50" s="59">
        <f>抵押物清单!C107</f>
        <v>30.07</v>
      </c>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t="s">
        <v>3912</v>
      </c>
      <c r="Q50" s="24">
        <f t="shared" si="13"/>
        <v>1</v>
      </c>
      <c r="R50" s="716">
        <f t="shared" ca="1" si="14"/>
        <v>16858</v>
      </c>
      <c r="S50" s="361">
        <f t="shared" ca="1" si="5"/>
        <v>51</v>
      </c>
    </row>
    <row r="51" spans="1:19">
      <c r="A51" s="159"/>
      <c r="B51" s="59">
        <f>抵押物清单!C108</f>
        <v>30.07</v>
      </c>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t="s">
        <v>3912</v>
      </c>
      <c r="Q51" s="24">
        <f t="shared" si="13"/>
        <v>1</v>
      </c>
      <c r="R51" s="716">
        <f t="shared" ca="1" si="14"/>
        <v>16858</v>
      </c>
      <c r="S51" s="361">
        <f t="shared" ca="1" si="5"/>
        <v>51</v>
      </c>
    </row>
    <row r="52" spans="1:19">
      <c r="A52" s="159"/>
      <c r="B52" s="59">
        <f>抵押物清单!C109</f>
        <v>23.05</v>
      </c>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t="s">
        <v>3912</v>
      </c>
      <c r="Q52" s="24">
        <f t="shared" si="13"/>
        <v>1</v>
      </c>
      <c r="R52" s="716">
        <f t="shared" ca="1" si="14"/>
        <v>16858</v>
      </c>
      <c r="S52" s="361">
        <f t="shared" ca="1" si="5"/>
        <v>39</v>
      </c>
    </row>
    <row r="53" spans="1:19">
      <c r="A53" s="159"/>
      <c r="B53" s="59">
        <f>抵押物清单!C110</f>
        <v>31.8</v>
      </c>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t="s">
        <v>3912</v>
      </c>
      <c r="Q53" s="24">
        <f t="shared" si="13"/>
        <v>1</v>
      </c>
      <c r="R53" s="716">
        <f t="shared" ca="1" si="14"/>
        <v>16858</v>
      </c>
      <c r="S53" s="361">
        <f t="shared" ca="1" si="5"/>
        <v>54</v>
      </c>
    </row>
    <row r="54" spans="1:19">
      <c r="A54" s="159"/>
      <c r="B54" s="59">
        <f>抵押物清单!C111</f>
        <v>33.32</v>
      </c>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t="s">
        <v>3912</v>
      </c>
      <c r="Q54" s="24">
        <f t="shared" si="13"/>
        <v>1</v>
      </c>
      <c r="R54" s="716">
        <f t="shared" ca="1" si="14"/>
        <v>16858</v>
      </c>
      <c r="S54" s="361">
        <f t="shared" ca="1" si="5"/>
        <v>56</v>
      </c>
    </row>
    <row r="55" spans="1:19">
      <c r="A55" s="159"/>
      <c r="B55" s="59">
        <f>抵押物清单!C112</f>
        <v>30.07</v>
      </c>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t="s">
        <v>3912</v>
      </c>
      <c r="Q55" s="24">
        <f t="shared" si="13"/>
        <v>1</v>
      </c>
      <c r="R55" s="716">
        <f t="shared" ca="1" si="14"/>
        <v>16858</v>
      </c>
      <c r="S55" s="361">
        <f t="shared" ca="1" si="5"/>
        <v>51</v>
      </c>
    </row>
    <row r="56" spans="1:19">
      <c r="A56" s="159"/>
      <c r="B56" s="59">
        <f>抵押物清单!C113</f>
        <v>30.07</v>
      </c>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t="s">
        <v>3912</v>
      </c>
      <c r="Q56" s="24">
        <f t="shared" si="13"/>
        <v>1</v>
      </c>
      <c r="R56" s="716">
        <f t="shared" ca="1" si="14"/>
        <v>16858</v>
      </c>
      <c r="S56" s="361">
        <f t="shared" ca="1" si="5"/>
        <v>51</v>
      </c>
    </row>
    <row r="57" spans="1:19">
      <c r="A57" s="159"/>
      <c r="B57" s="59">
        <f>抵押物清单!C114</f>
        <v>30.07</v>
      </c>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t="s">
        <v>3912</v>
      </c>
      <c r="Q57" s="24">
        <f t="shared" si="13"/>
        <v>1</v>
      </c>
      <c r="R57" s="716">
        <f t="shared" ca="1" si="14"/>
        <v>16858</v>
      </c>
      <c r="S57" s="361">
        <f t="shared" ca="1" si="5"/>
        <v>51</v>
      </c>
    </row>
    <row r="58" spans="1:19">
      <c r="A58" s="159"/>
      <c r="B58" s="59">
        <f>抵押物清单!C115</f>
        <v>30.07</v>
      </c>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t="s">
        <v>3912</v>
      </c>
      <c r="Q58" s="24">
        <f t="shared" si="13"/>
        <v>1</v>
      </c>
      <c r="R58" s="716">
        <f t="shared" ca="1" si="14"/>
        <v>16858</v>
      </c>
      <c r="S58" s="361">
        <f t="shared" ca="1" si="5"/>
        <v>51</v>
      </c>
    </row>
    <row r="59" spans="1:19">
      <c r="A59" s="159"/>
      <c r="B59" s="59">
        <f>抵押物清单!C116</f>
        <v>30.07</v>
      </c>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t="s">
        <v>3912</v>
      </c>
      <c r="Q59" s="24">
        <f t="shared" si="13"/>
        <v>1</v>
      </c>
      <c r="R59" s="716">
        <f t="shared" ca="1" si="14"/>
        <v>16858</v>
      </c>
      <c r="S59" s="361">
        <f t="shared" ca="1" si="5"/>
        <v>51</v>
      </c>
    </row>
    <row r="60" spans="1:19">
      <c r="A60" s="159"/>
      <c r="B60" s="59">
        <f>抵押物清单!C117</f>
        <v>30.07</v>
      </c>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t="s">
        <v>3912</v>
      </c>
      <c r="Q60" s="24">
        <f t="shared" si="13"/>
        <v>1</v>
      </c>
      <c r="R60" s="716">
        <f t="shared" ca="1" si="14"/>
        <v>16858</v>
      </c>
      <c r="S60" s="361">
        <f t="shared" ca="1" si="5"/>
        <v>51</v>
      </c>
    </row>
    <row r="61" spans="1:19">
      <c r="A61" s="159"/>
      <c r="B61" s="59">
        <f>抵押物清单!C118</f>
        <v>30.07</v>
      </c>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t="s">
        <v>3912</v>
      </c>
      <c r="Q61" s="24">
        <f t="shared" si="13"/>
        <v>1</v>
      </c>
      <c r="R61" s="716">
        <f t="shared" ca="1" si="14"/>
        <v>16858</v>
      </c>
      <c r="S61" s="361">
        <f t="shared" ca="1" si="5"/>
        <v>51</v>
      </c>
    </row>
    <row r="62" spans="1:19">
      <c r="A62" s="159"/>
      <c r="B62" s="59">
        <f>抵押物清单!C119</f>
        <v>30.07</v>
      </c>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t="s">
        <v>3912</v>
      </c>
      <c r="Q62" s="24">
        <f t="shared" si="13"/>
        <v>1</v>
      </c>
      <c r="R62" s="716">
        <f t="shared" ca="1" si="14"/>
        <v>16858</v>
      </c>
      <c r="S62" s="361">
        <f t="shared" ca="1" si="5"/>
        <v>51</v>
      </c>
    </row>
    <row r="63" spans="1:19">
      <c r="A63" s="159"/>
      <c r="B63" s="59">
        <f>抵押物清单!C120</f>
        <v>30.07</v>
      </c>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t="s">
        <v>3912</v>
      </c>
      <c r="Q63" s="24">
        <f t="shared" si="13"/>
        <v>1</v>
      </c>
      <c r="R63" s="716">
        <f t="shared" ca="1" si="14"/>
        <v>16858</v>
      </c>
      <c r="S63" s="361">
        <f t="shared" ca="1" si="5"/>
        <v>51</v>
      </c>
    </row>
    <row r="64" spans="1:19">
      <c r="A64" s="159"/>
      <c r="B64" s="59">
        <f>抵押物清单!C121</f>
        <v>30.07</v>
      </c>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t="s">
        <v>3912</v>
      </c>
      <c r="Q64" s="24">
        <f t="shared" si="13"/>
        <v>1</v>
      </c>
      <c r="R64" s="716">
        <f t="shared" ca="1" si="14"/>
        <v>16858</v>
      </c>
      <c r="S64" s="361">
        <f t="shared" ca="1" si="5"/>
        <v>51</v>
      </c>
    </row>
    <row r="65" spans="1:19">
      <c r="A65" s="159"/>
      <c r="B65" s="59">
        <f>抵押物清单!C122</f>
        <v>30.07</v>
      </c>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t="s">
        <v>3912</v>
      </c>
      <c r="Q65" s="24">
        <f t="shared" si="13"/>
        <v>1</v>
      </c>
      <c r="R65" s="716">
        <f t="shared" ca="1" si="14"/>
        <v>16858</v>
      </c>
      <c r="S65" s="361">
        <f t="shared" ca="1" si="5"/>
        <v>51</v>
      </c>
    </row>
    <row r="66" spans="1:19">
      <c r="A66" s="159"/>
      <c r="B66" s="59">
        <f>抵押物清单!C123</f>
        <v>22.55</v>
      </c>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t="s">
        <v>3912</v>
      </c>
      <c r="Q66" s="24">
        <f t="shared" si="13"/>
        <v>1</v>
      </c>
      <c r="R66" s="716">
        <f t="shared" ca="1" si="14"/>
        <v>16858</v>
      </c>
      <c r="S66" s="361">
        <f t="shared" ca="1" si="5"/>
        <v>38</v>
      </c>
    </row>
    <row r="67" spans="1:19">
      <c r="A67" s="159"/>
      <c r="B67" s="59">
        <f>抵押物清单!C124</f>
        <v>20.97</v>
      </c>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t="s">
        <v>3912</v>
      </c>
      <c r="Q67" s="24">
        <f t="shared" si="13"/>
        <v>1</v>
      </c>
      <c r="R67" s="716">
        <f t="shared" ca="1" si="14"/>
        <v>16858</v>
      </c>
      <c r="S67" s="361">
        <f t="shared" ca="1" si="5"/>
        <v>35</v>
      </c>
    </row>
    <row r="68" spans="1:19">
      <c r="A68" s="159"/>
      <c r="B68" s="59">
        <f>抵押物清单!C125</f>
        <v>21.42</v>
      </c>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t="s">
        <v>3912</v>
      </c>
      <c r="Q68" s="24">
        <f t="shared" si="13"/>
        <v>1</v>
      </c>
      <c r="R68" s="716">
        <f t="shared" ca="1" si="14"/>
        <v>16858</v>
      </c>
      <c r="S68" s="361">
        <f t="shared" ca="1" si="5"/>
        <v>36</v>
      </c>
    </row>
    <row r="69" spans="1:19">
      <c r="A69" s="159"/>
      <c r="B69" s="59">
        <f>抵押物清单!C126</f>
        <v>22.39</v>
      </c>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t="s">
        <v>3912</v>
      </c>
      <c r="Q69" s="24">
        <f t="shared" si="13"/>
        <v>1</v>
      </c>
      <c r="R69" s="716">
        <f t="shared" ca="1" si="14"/>
        <v>16858</v>
      </c>
      <c r="S69" s="361">
        <f t="shared" ca="1" si="5"/>
        <v>38</v>
      </c>
    </row>
    <row r="70" spans="1:19">
      <c r="A70" s="159"/>
      <c r="B70" s="59">
        <f>抵押物清单!C127</f>
        <v>22.06</v>
      </c>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t="s">
        <v>3912</v>
      </c>
      <c r="Q70" s="24">
        <f t="shared" si="13"/>
        <v>1</v>
      </c>
      <c r="R70" s="716">
        <f t="shared" ca="1" si="14"/>
        <v>16858</v>
      </c>
      <c r="S70" s="361">
        <f t="shared" ca="1" si="5"/>
        <v>37</v>
      </c>
    </row>
    <row r="71" spans="1:19">
      <c r="A71" s="159"/>
      <c r="B71" s="59">
        <f>抵押物清单!C128</f>
        <v>23.34</v>
      </c>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t="s">
        <v>3912</v>
      </c>
      <c r="Q71" s="24">
        <f t="shared" si="13"/>
        <v>1</v>
      </c>
      <c r="R71" s="716">
        <f t="shared" ca="1" si="14"/>
        <v>16858</v>
      </c>
      <c r="S71" s="361">
        <f t="shared" ca="1" si="5"/>
        <v>39</v>
      </c>
    </row>
    <row r="72" spans="1:19">
      <c r="A72" s="159"/>
      <c r="B72" s="59">
        <f>抵押物清单!C129</f>
        <v>31.14</v>
      </c>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t="s">
        <v>3912</v>
      </c>
      <c r="Q72" s="24">
        <f t="shared" si="13"/>
        <v>1</v>
      </c>
      <c r="R72" s="716">
        <f t="shared" ca="1" si="14"/>
        <v>16858</v>
      </c>
      <c r="S72" s="361">
        <f t="shared" ca="1" si="5"/>
        <v>52</v>
      </c>
    </row>
    <row r="73" spans="1:19">
      <c r="A73" s="159"/>
      <c r="B73" s="59">
        <f>抵押物清单!C130</f>
        <v>31.14</v>
      </c>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t="s">
        <v>3912</v>
      </c>
      <c r="Q73" s="24">
        <f t="shared" si="13"/>
        <v>1</v>
      </c>
      <c r="R73" s="716">
        <f t="shared" ca="1" si="14"/>
        <v>16858</v>
      </c>
      <c r="S73" s="361">
        <f t="shared" ca="1" si="5"/>
        <v>52</v>
      </c>
    </row>
    <row r="74" spans="1:19">
      <c r="A74" s="159"/>
      <c r="B74" s="59">
        <f>抵押物清单!C131</f>
        <v>31.14</v>
      </c>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t="s">
        <v>3912</v>
      </c>
      <c r="Q74" s="24">
        <f t="shared" si="13"/>
        <v>1</v>
      </c>
      <c r="R74" s="716">
        <f t="shared" ca="1" si="14"/>
        <v>16858</v>
      </c>
      <c r="S74" s="361">
        <f t="shared" ca="1" si="5"/>
        <v>52</v>
      </c>
    </row>
    <row r="75" spans="1:19">
      <c r="A75" s="159"/>
      <c r="B75" s="59">
        <f>抵押物清单!C132</f>
        <v>31.14</v>
      </c>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t="s">
        <v>3912</v>
      </c>
      <c r="Q75" s="24">
        <f t="shared" si="13"/>
        <v>1</v>
      </c>
      <c r="R75" s="716">
        <f t="shared" ca="1" si="14"/>
        <v>16858</v>
      </c>
      <c r="S75" s="361">
        <f t="shared" ca="1" si="5"/>
        <v>52</v>
      </c>
    </row>
    <row r="76" spans="1:19">
      <c r="A76" s="159"/>
      <c r="B76" s="59">
        <f>抵押物清单!C133</f>
        <v>31.14</v>
      </c>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t="s">
        <v>3912</v>
      </c>
      <c r="Q76" s="24">
        <f t="shared" si="13"/>
        <v>1</v>
      </c>
      <c r="R76" s="716">
        <f t="shared" ca="1" si="14"/>
        <v>16858</v>
      </c>
      <c r="S76" s="361">
        <f t="shared" ca="1" si="5"/>
        <v>52</v>
      </c>
    </row>
    <row r="77" spans="1:19">
      <c r="A77" s="159"/>
      <c r="B77" s="59">
        <f>抵押物清单!C134</f>
        <v>31.14</v>
      </c>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t="s">
        <v>3912</v>
      </c>
      <c r="Q77" s="24">
        <f t="shared" si="13"/>
        <v>1</v>
      </c>
      <c r="R77" s="716">
        <f t="shared" ca="1" si="14"/>
        <v>16858</v>
      </c>
      <c r="S77" s="361">
        <f t="shared" ca="1" si="5"/>
        <v>52</v>
      </c>
    </row>
    <row r="78" spans="1:19">
      <c r="A78" s="159"/>
      <c r="B78" s="59">
        <f>抵押物清单!C135</f>
        <v>31.14</v>
      </c>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t="s">
        <v>3912</v>
      </c>
      <c r="Q78" s="24">
        <f t="shared" si="13"/>
        <v>1</v>
      </c>
      <c r="R78" s="716">
        <f t="shared" ca="1" si="14"/>
        <v>16858</v>
      </c>
      <c r="S78" s="361">
        <f t="shared" ca="1" si="5"/>
        <v>52</v>
      </c>
    </row>
    <row r="79" spans="1:19">
      <c r="A79" s="159"/>
      <c r="B79" s="59">
        <f>抵押物清单!C136</f>
        <v>31.14</v>
      </c>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t="s">
        <v>3912</v>
      </c>
      <c r="Q79" s="24">
        <f t="shared" si="13"/>
        <v>1</v>
      </c>
      <c r="R79" s="716">
        <f t="shared" ca="1" si="14"/>
        <v>16858</v>
      </c>
      <c r="S79" s="361">
        <f t="shared" ca="1" si="5"/>
        <v>52</v>
      </c>
    </row>
    <row r="80" spans="1:19">
      <c r="A80" s="159"/>
      <c r="B80" s="59">
        <f>抵押物清单!C137</f>
        <v>31.14</v>
      </c>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t="s">
        <v>3912</v>
      </c>
      <c r="Q80" s="24">
        <f t="shared" si="13"/>
        <v>1</v>
      </c>
      <c r="R80" s="716">
        <f t="shared" ca="1" si="14"/>
        <v>16858</v>
      </c>
      <c r="S80" s="361">
        <f t="shared" ca="1" si="5"/>
        <v>52</v>
      </c>
    </row>
    <row r="81" spans="1:19">
      <c r="A81" s="159"/>
      <c r="B81" s="59">
        <f>抵押物清单!C138</f>
        <v>31.14</v>
      </c>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t="s">
        <v>3912</v>
      </c>
      <c r="Q81" s="24">
        <f t="shared" si="13"/>
        <v>1</v>
      </c>
      <c r="R81" s="716">
        <f t="shared" ca="1" si="14"/>
        <v>16858</v>
      </c>
      <c r="S81" s="361">
        <f t="shared" ca="1" si="5"/>
        <v>52</v>
      </c>
    </row>
    <row r="82" spans="1:19">
      <c r="A82" s="159"/>
      <c r="B82" s="59">
        <f>抵押物清单!C139</f>
        <v>31.14</v>
      </c>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t="s">
        <v>3912</v>
      </c>
      <c r="Q82" s="24">
        <f t="shared" si="13"/>
        <v>1</v>
      </c>
      <c r="R82" s="716">
        <f t="shared" ca="1" si="14"/>
        <v>16858</v>
      </c>
      <c r="S82" s="361">
        <f t="shared" ca="1" si="5"/>
        <v>52</v>
      </c>
    </row>
    <row r="83" spans="1:19">
      <c r="A83" s="159"/>
      <c r="B83" s="59">
        <f>抵押物清单!C140</f>
        <v>34.51</v>
      </c>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t="s">
        <v>3912</v>
      </c>
      <c r="Q83" s="24">
        <f t="shared" si="13"/>
        <v>1</v>
      </c>
      <c r="R83" s="716">
        <f t="shared" ca="1" si="14"/>
        <v>16858</v>
      </c>
      <c r="S83" s="361">
        <f t="shared" ca="1" si="5"/>
        <v>58</v>
      </c>
    </row>
    <row r="84" spans="1:19">
      <c r="A84" s="159"/>
      <c r="B84" s="59">
        <f>抵押物清单!C141</f>
        <v>31.85</v>
      </c>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t="s">
        <v>3912</v>
      </c>
      <c r="Q84" s="24">
        <f t="shared" si="13"/>
        <v>1</v>
      </c>
      <c r="R84" s="716">
        <f t="shared" ca="1" si="14"/>
        <v>16858</v>
      </c>
      <c r="S84" s="361">
        <f t="shared" ca="1" si="5"/>
        <v>54</v>
      </c>
    </row>
    <row r="85" spans="1:19">
      <c r="A85" s="159"/>
      <c r="B85" s="59">
        <f>抵押物清单!C142</f>
        <v>23.29</v>
      </c>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t="s">
        <v>3912</v>
      </c>
      <c r="Q85" s="24">
        <f t="shared" si="13"/>
        <v>1</v>
      </c>
      <c r="R85" s="716">
        <f t="shared" ca="1" si="14"/>
        <v>16858</v>
      </c>
      <c r="S85" s="361">
        <f t="shared" ca="1" si="5"/>
        <v>39</v>
      </c>
    </row>
    <row r="86" spans="1:19">
      <c r="A86" s="159"/>
      <c r="B86" s="59">
        <f>抵押物清单!C143</f>
        <v>30.22</v>
      </c>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t="s">
        <v>3912</v>
      </c>
      <c r="Q86" s="24">
        <f t="shared" si="13"/>
        <v>1</v>
      </c>
      <c r="R86" s="716">
        <f t="shared" ca="1" si="14"/>
        <v>16858</v>
      </c>
      <c r="S86" s="361">
        <f t="shared" ca="1" si="5"/>
        <v>51</v>
      </c>
    </row>
    <row r="87" spans="1:19">
      <c r="A87" s="159"/>
      <c r="B87" s="59">
        <f>抵押物清单!C144</f>
        <v>30.22</v>
      </c>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t="s">
        <v>3912</v>
      </c>
      <c r="Q87" s="24">
        <f t="shared" si="13"/>
        <v>1</v>
      </c>
      <c r="R87" s="716">
        <f t="shared" ca="1" si="14"/>
        <v>16858</v>
      </c>
      <c r="S87" s="361">
        <f t="shared" ca="1" si="5"/>
        <v>51</v>
      </c>
    </row>
    <row r="88" spans="1:19">
      <c r="A88" s="159"/>
      <c r="B88" s="59">
        <f>抵押物清单!C145</f>
        <v>30.22</v>
      </c>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t="s">
        <v>3912</v>
      </c>
      <c r="Q88" s="24">
        <f t="shared" si="13"/>
        <v>1</v>
      </c>
      <c r="R88" s="716">
        <f t="shared" ca="1" si="14"/>
        <v>16858</v>
      </c>
      <c r="S88" s="361">
        <f t="shared" ref="S88:S151" ca="1" si="15">ROUND(R88*B88/10000,0)</f>
        <v>51</v>
      </c>
    </row>
    <row r="89" spans="1:19">
      <c r="A89" s="159"/>
      <c r="B89" s="59">
        <f>抵押物清单!C146</f>
        <v>30.22</v>
      </c>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t="s">
        <v>3912</v>
      </c>
      <c r="Q89" s="24">
        <f t="shared" si="13"/>
        <v>1</v>
      </c>
      <c r="R89" s="716">
        <f t="shared" ca="1" si="14"/>
        <v>16858</v>
      </c>
      <c r="S89" s="361">
        <f t="shared" ca="1" si="15"/>
        <v>51</v>
      </c>
    </row>
    <row r="90" spans="1:19">
      <c r="A90" s="159"/>
      <c r="B90" s="59">
        <f>抵押物清单!C147</f>
        <v>30.22</v>
      </c>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t="s">
        <v>3912</v>
      </c>
      <c r="Q90" s="24">
        <f t="shared" ref="Q90:Q153" si="23">(SUMIF($17:$17,P90,$18:$18)-SUMIF($17:$17,$P$24,$18:$18)+100)/100</f>
        <v>1</v>
      </c>
      <c r="R90" s="716">
        <f t="shared" ref="R90:R153" ca="1" si="24">IF(B90="",0,ROUND($R$24*C90*E90*G90*I90*K90*M90*O90*Q90,0))</f>
        <v>16858</v>
      </c>
      <c r="S90" s="361">
        <f t="shared" ca="1" si="15"/>
        <v>51</v>
      </c>
    </row>
    <row r="91" spans="1:19">
      <c r="A91" s="159"/>
      <c r="B91" s="59">
        <f>抵押物清单!C148</f>
        <v>30.22</v>
      </c>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t="s">
        <v>3912</v>
      </c>
      <c r="Q91" s="24">
        <f t="shared" si="23"/>
        <v>1</v>
      </c>
      <c r="R91" s="716">
        <f t="shared" ca="1" si="24"/>
        <v>16858</v>
      </c>
      <c r="S91" s="361">
        <f t="shared" ca="1" si="15"/>
        <v>51</v>
      </c>
    </row>
    <row r="92" spans="1:19">
      <c r="A92" s="159"/>
      <c r="B92" s="59">
        <f>抵押物清单!C149</f>
        <v>30.22</v>
      </c>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t="s">
        <v>3912</v>
      </c>
      <c r="Q92" s="24">
        <f t="shared" si="23"/>
        <v>1</v>
      </c>
      <c r="R92" s="716">
        <f t="shared" ca="1" si="24"/>
        <v>16858</v>
      </c>
      <c r="S92" s="361">
        <f t="shared" ca="1" si="15"/>
        <v>51</v>
      </c>
    </row>
    <row r="93" spans="1:19">
      <c r="A93" s="159"/>
      <c r="B93" s="59">
        <f>抵押物清单!C150</f>
        <v>30.22</v>
      </c>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t="s">
        <v>3912</v>
      </c>
      <c r="Q93" s="24">
        <f t="shared" si="23"/>
        <v>1</v>
      </c>
      <c r="R93" s="716">
        <f t="shared" ca="1" si="24"/>
        <v>16858</v>
      </c>
      <c r="S93" s="361">
        <f t="shared" ca="1" si="15"/>
        <v>51</v>
      </c>
    </row>
    <row r="94" spans="1:19">
      <c r="A94" s="159"/>
      <c r="B94" s="59">
        <f>抵押物清单!C151</f>
        <v>30.22</v>
      </c>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t="s">
        <v>3912</v>
      </c>
      <c r="Q94" s="24">
        <f t="shared" si="23"/>
        <v>1</v>
      </c>
      <c r="R94" s="716">
        <f t="shared" ca="1" si="24"/>
        <v>16858</v>
      </c>
      <c r="S94" s="361">
        <f t="shared" ca="1" si="15"/>
        <v>51</v>
      </c>
    </row>
    <row r="95" spans="1:19">
      <c r="A95" s="159"/>
      <c r="B95" s="59">
        <f>抵押物清单!C152</f>
        <v>28.2</v>
      </c>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t="s">
        <v>3912</v>
      </c>
      <c r="Q95" s="24">
        <f t="shared" si="23"/>
        <v>1</v>
      </c>
      <c r="R95" s="716">
        <f t="shared" ca="1" si="24"/>
        <v>16858</v>
      </c>
      <c r="S95" s="361">
        <f t="shared" ca="1" si="15"/>
        <v>48</v>
      </c>
    </row>
    <row r="96" spans="1:19">
      <c r="A96" s="159"/>
      <c r="B96" s="59">
        <f>抵押物清单!C153</f>
        <v>26.94</v>
      </c>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t="s">
        <v>3912</v>
      </c>
      <c r="Q96" s="24">
        <f t="shared" si="23"/>
        <v>1</v>
      </c>
      <c r="R96" s="716">
        <f t="shared" ca="1" si="24"/>
        <v>16858</v>
      </c>
      <c r="S96" s="361">
        <f t="shared" ca="1" si="15"/>
        <v>45</v>
      </c>
    </row>
    <row r="97" spans="1:19">
      <c r="A97" s="159"/>
      <c r="B97" s="59">
        <f>抵押物清单!C154</f>
        <v>28.56</v>
      </c>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t="s">
        <v>3912</v>
      </c>
      <c r="Q97" s="24">
        <f t="shared" si="23"/>
        <v>1</v>
      </c>
      <c r="R97" s="716">
        <f t="shared" ca="1" si="24"/>
        <v>16858</v>
      </c>
      <c r="S97" s="361">
        <f t="shared" ca="1" si="15"/>
        <v>48</v>
      </c>
    </row>
    <row r="98" spans="1:19">
      <c r="A98" s="159"/>
      <c r="B98" s="59">
        <f>抵押物清单!C155</f>
        <v>29.91</v>
      </c>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t="s">
        <v>3912</v>
      </c>
      <c r="Q98" s="24">
        <f t="shared" si="23"/>
        <v>1</v>
      </c>
      <c r="R98" s="716">
        <f t="shared" ca="1" si="24"/>
        <v>16858</v>
      </c>
      <c r="S98" s="361">
        <f t="shared" ca="1" si="15"/>
        <v>50</v>
      </c>
    </row>
    <row r="99" spans="1:19">
      <c r="A99" s="159"/>
      <c r="B99" s="59">
        <f>抵押物清单!C156</f>
        <v>32.04</v>
      </c>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t="s">
        <v>3912</v>
      </c>
      <c r="Q99" s="24">
        <f t="shared" si="23"/>
        <v>1</v>
      </c>
      <c r="R99" s="716">
        <f t="shared" ca="1" si="24"/>
        <v>16858</v>
      </c>
      <c r="S99" s="361">
        <f t="shared" ca="1" si="15"/>
        <v>54</v>
      </c>
    </row>
    <row r="100" spans="1:19">
      <c r="A100" s="159"/>
      <c r="B100" s="59">
        <f>抵押物清单!C157</f>
        <v>32.04</v>
      </c>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t="s">
        <v>3912</v>
      </c>
      <c r="Q100" s="24">
        <f t="shared" si="23"/>
        <v>1</v>
      </c>
      <c r="R100" s="716">
        <f t="shared" ca="1" si="24"/>
        <v>16858</v>
      </c>
      <c r="S100" s="361">
        <f t="shared" ca="1" si="15"/>
        <v>54</v>
      </c>
    </row>
    <row r="101" spans="1:19">
      <c r="A101" s="159"/>
      <c r="B101" s="59">
        <f>抵押物清单!C158</f>
        <v>32.04</v>
      </c>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t="s">
        <v>3912</v>
      </c>
      <c r="Q101" s="24">
        <f t="shared" si="23"/>
        <v>1</v>
      </c>
      <c r="R101" s="716">
        <f t="shared" ca="1" si="24"/>
        <v>16858</v>
      </c>
      <c r="S101" s="361">
        <f t="shared" ca="1" si="15"/>
        <v>54</v>
      </c>
    </row>
    <row r="102" spans="1:19">
      <c r="A102" s="159"/>
      <c r="B102" s="59">
        <f>抵押物清单!C159</f>
        <v>32.04</v>
      </c>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t="s">
        <v>3912</v>
      </c>
      <c r="Q102" s="24">
        <f t="shared" si="23"/>
        <v>1</v>
      </c>
      <c r="R102" s="716">
        <f t="shared" ca="1" si="24"/>
        <v>16858</v>
      </c>
      <c r="S102" s="361">
        <f t="shared" ca="1" si="15"/>
        <v>54</v>
      </c>
    </row>
    <row r="103" spans="1:19">
      <c r="A103" s="159"/>
      <c r="B103" s="59">
        <f>抵押物清单!C160</f>
        <v>32.04</v>
      </c>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t="s">
        <v>3912</v>
      </c>
      <c r="Q103" s="24">
        <f t="shared" si="23"/>
        <v>1</v>
      </c>
      <c r="R103" s="716">
        <f t="shared" ca="1" si="24"/>
        <v>16858</v>
      </c>
      <c r="S103" s="361">
        <f t="shared" ca="1" si="15"/>
        <v>54</v>
      </c>
    </row>
    <row r="104" spans="1:19">
      <c r="A104" s="159"/>
      <c r="B104" s="59">
        <f>抵押物清单!C161</f>
        <v>32.04</v>
      </c>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t="s">
        <v>3912</v>
      </c>
      <c r="Q104" s="24">
        <f t="shared" si="23"/>
        <v>1</v>
      </c>
      <c r="R104" s="716">
        <f t="shared" ca="1" si="24"/>
        <v>16858</v>
      </c>
      <c r="S104" s="361">
        <f t="shared" ca="1" si="15"/>
        <v>54</v>
      </c>
    </row>
    <row r="105" spans="1:19">
      <c r="A105" s="159"/>
      <c r="B105" s="59">
        <f>抵押物清单!C162</f>
        <v>32.04</v>
      </c>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t="s">
        <v>3912</v>
      </c>
      <c r="Q105" s="24">
        <f t="shared" si="23"/>
        <v>1</v>
      </c>
      <c r="R105" s="716">
        <f t="shared" ca="1" si="24"/>
        <v>16858</v>
      </c>
      <c r="S105" s="361">
        <f t="shared" ca="1" si="15"/>
        <v>54</v>
      </c>
    </row>
    <row r="106" spans="1:19">
      <c r="A106" s="159"/>
      <c r="B106" s="59">
        <f>抵押物清单!C163</f>
        <v>32.04</v>
      </c>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t="s">
        <v>3912</v>
      </c>
      <c r="Q106" s="24">
        <f t="shared" si="23"/>
        <v>1</v>
      </c>
      <c r="R106" s="716">
        <f t="shared" ca="1" si="24"/>
        <v>16858</v>
      </c>
      <c r="S106" s="361">
        <f t="shared" ca="1" si="15"/>
        <v>54</v>
      </c>
    </row>
    <row r="107" spans="1:19">
      <c r="A107" s="159"/>
      <c r="B107" s="59">
        <f>抵押物清单!C164</f>
        <v>32.04</v>
      </c>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t="s">
        <v>3912</v>
      </c>
      <c r="Q107" s="24">
        <f t="shared" si="23"/>
        <v>1</v>
      </c>
      <c r="R107" s="716">
        <f t="shared" ca="1" si="24"/>
        <v>16858</v>
      </c>
      <c r="S107" s="361">
        <f t="shared" ca="1" si="15"/>
        <v>54</v>
      </c>
    </row>
    <row r="108" spans="1:19">
      <c r="A108" s="159"/>
      <c r="B108" s="59">
        <f>抵押物清单!C165</f>
        <v>24.69</v>
      </c>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t="s">
        <v>3912</v>
      </c>
      <c r="Q108" s="24">
        <f t="shared" si="23"/>
        <v>1</v>
      </c>
      <c r="R108" s="716">
        <f t="shared" ca="1" si="24"/>
        <v>16858</v>
      </c>
      <c r="S108" s="361">
        <f t="shared" ca="1" si="15"/>
        <v>42</v>
      </c>
    </row>
    <row r="109" spans="1:19">
      <c r="A109" s="159"/>
      <c r="B109" s="59">
        <f>抵押物清单!C166</f>
        <v>33.770000000000003</v>
      </c>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t="s">
        <v>3912</v>
      </c>
      <c r="Q109" s="24">
        <f t="shared" si="23"/>
        <v>1</v>
      </c>
      <c r="R109" s="716">
        <f t="shared" ca="1" si="24"/>
        <v>16858</v>
      </c>
      <c r="S109" s="361">
        <f t="shared" ca="1" si="15"/>
        <v>57</v>
      </c>
    </row>
    <row r="110" spans="1:19">
      <c r="A110" s="159"/>
      <c r="B110" s="59">
        <f>抵押物清单!C167</f>
        <v>34.51</v>
      </c>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t="s">
        <v>3912</v>
      </c>
      <c r="Q110" s="24">
        <f t="shared" si="23"/>
        <v>1</v>
      </c>
      <c r="R110" s="716">
        <f t="shared" ca="1" si="24"/>
        <v>16858</v>
      </c>
      <c r="S110" s="361">
        <f t="shared" ca="1" si="15"/>
        <v>58</v>
      </c>
    </row>
    <row r="111" spans="1:19">
      <c r="A111" s="159"/>
      <c r="B111" s="59">
        <f>抵押物清单!C168</f>
        <v>31.14</v>
      </c>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t="s">
        <v>3912</v>
      </c>
      <c r="Q111" s="24">
        <f t="shared" si="23"/>
        <v>1</v>
      </c>
      <c r="R111" s="716">
        <f t="shared" ca="1" si="24"/>
        <v>16858</v>
      </c>
      <c r="S111" s="361">
        <f t="shared" ca="1" si="15"/>
        <v>52</v>
      </c>
    </row>
    <row r="112" spans="1:19">
      <c r="A112" s="159"/>
      <c r="B112" s="59">
        <f>抵押物清单!C169</f>
        <v>31.14</v>
      </c>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t="s">
        <v>3912</v>
      </c>
      <c r="Q112" s="24">
        <f t="shared" si="23"/>
        <v>1</v>
      </c>
      <c r="R112" s="716">
        <f t="shared" ca="1" si="24"/>
        <v>16858</v>
      </c>
      <c r="S112" s="361">
        <f t="shared" ca="1" si="15"/>
        <v>52</v>
      </c>
    </row>
    <row r="113" spans="1:19">
      <c r="A113" s="159"/>
      <c r="B113" s="59">
        <f>抵押物清单!C170</f>
        <v>31.14</v>
      </c>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t="s">
        <v>3912</v>
      </c>
      <c r="Q113" s="24">
        <f t="shared" si="23"/>
        <v>1</v>
      </c>
      <c r="R113" s="716">
        <f t="shared" ca="1" si="24"/>
        <v>16858</v>
      </c>
      <c r="S113" s="361">
        <f t="shared" ca="1" si="15"/>
        <v>52</v>
      </c>
    </row>
    <row r="114" spans="1:19">
      <c r="A114" s="159"/>
      <c r="B114" s="59">
        <f>抵押物清单!C171</f>
        <v>31.14</v>
      </c>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t="s">
        <v>3912</v>
      </c>
      <c r="Q114" s="24">
        <f t="shared" si="23"/>
        <v>1</v>
      </c>
      <c r="R114" s="716">
        <f t="shared" ca="1" si="24"/>
        <v>16858</v>
      </c>
      <c r="S114" s="361">
        <f t="shared" ca="1" si="15"/>
        <v>52</v>
      </c>
    </row>
    <row r="115" spans="1:19">
      <c r="A115" s="159"/>
      <c r="B115" s="59">
        <f>抵押物清单!C172</f>
        <v>31.14</v>
      </c>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t="s">
        <v>3912</v>
      </c>
      <c r="Q115" s="24">
        <f t="shared" si="23"/>
        <v>1</v>
      </c>
      <c r="R115" s="716">
        <f t="shared" ca="1" si="24"/>
        <v>16858</v>
      </c>
      <c r="S115" s="361">
        <f t="shared" ca="1" si="15"/>
        <v>52</v>
      </c>
    </row>
    <row r="116" spans="1:19">
      <c r="A116" s="159"/>
      <c r="B116" s="59">
        <f>抵押物清单!C173</f>
        <v>31.14</v>
      </c>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t="s">
        <v>3912</v>
      </c>
      <c r="Q116" s="24">
        <f t="shared" si="23"/>
        <v>1</v>
      </c>
      <c r="R116" s="716">
        <f t="shared" ca="1" si="24"/>
        <v>16858</v>
      </c>
      <c r="S116" s="361">
        <f t="shared" ca="1" si="15"/>
        <v>52</v>
      </c>
    </row>
    <row r="117" spans="1:19">
      <c r="A117" s="159"/>
      <c r="B117" s="59">
        <f>抵押物清单!C174</f>
        <v>31.14</v>
      </c>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t="s">
        <v>3912</v>
      </c>
      <c r="Q117" s="24">
        <f t="shared" si="23"/>
        <v>1</v>
      </c>
      <c r="R117" s="716">
        <f t="shared" ca="1" si="24"/>
        <v>16858</v>
      </c>
      <c r="S117" s="361">
        <f t="shared" ca="1" si="15"/>
        <v>52</v>
      </c>
    </row>
    <row r="118" spans="1:19">
      <c r="A118" s="159"/>
      <c r="B118" s="59">
        <f>抵押物清单!C175</f>
        <v>31.14</v>
      </c>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t="s">
        <v>3912</v>
      </c>
      <c r="Q118" s="24">
        <f t="shared" si="23"/>
        <v>1</v>
      </c>
      <c r="R118" s="716">
        <f t="shared" ca="1" si="24"/>
        <v>16858</v>
      </c>
      <c r="S118" s="361">
        <f t="shared" ca="1" si="15"/>
        <v>52</v>
      </c>
    </row>
    <row r="119" spans="1:19">
      <c r="A119" s="159"/>
      <c r="B119" s="59">
        <f>抵押物清单!C176</f>
        <v>31.14</v>
      </c>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t="s">
        <v>3912</v>
      </c>
      <c r="Q119" s="24">
        <f t="shared" si="23"/>
        <v>1</v>
      </c>
      <c r="R119" s="716">
        <f t="shared" ca="1" si="24"/>
        <v>16858</v>
      </c>
      <c r="S119" s="361">
        <f t="shared" ca="1" si="15"/>
        <v>52</v>
      </c>
    </row>
    <row r="120" spans="1:19">
      <c r="A120" s="159"/>
      <c r="B120" s="59">
        <f>抵押物清单!C177</f>
        <v>31.14</v>
      </c>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t="s">
        <v>3912</v>
      </c>
      <c r="Q120" s="24">
        <f t="shared" si="23"/>
        <v>1</v>
      </c>
      <c r="R120" s="716">
        <f t="shared" ca="1" si="24"/>
        <v>16858</v>
      </c>
      <c r="S120" s="361">
        <f t="shared" ca="1" si="15"/>
        <v>52</v>
      </c>
    </row>
    <row r="121" spans="1:19">
      <c r="A121" s="159"/>
      <c r="B121" s="59">
        <f>抵押物清单!C178</f>
        <v>31.14</v>
      </c>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t="s">
        <v>3912</v>
      </c>
      <c r="Q121" s="24">
        <f t="shared" si="23"/>
        <v>1</v>
      </c>
      <c r="R121" s="716">
        <f t="shared" ca="1" si="24"/>
        <v>16858</v>
      </c>
      <c r="S121" s="361">
        <f t="shared" ca="1" si="15"/>
        <v>52</v>
      </c>
    </row>
    <row r="122" spans="1:19">
      <c r="A122" s="159"/>
      <c r="B122" s="59">
        <f>抵押物清单!C179</f>
        <v>23.34</v>
      </c>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t="s">
        <v>3912</v>
      </c>
      <c r="Q122" s="24">
        <f t="shared" si="23"/>
        <v>1</v>
      </c>
      <c r="R122" s="716">
        <f t="shared" ca="1" si="24"/>
        <v>16858</v>
      </c>
      <c r="S122" s="361">
        <f t="shared" ca="1" si="15"/>
        <v>39</v>
      </c>
    </row>
    <row r="123" spans="1:19">
      <c r="A123" s="159"/>
      <c r="B123" s="59">
        <f>抵押物清单!C180</f>
        <v>19.07</v>
      </c>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t="s">
        <v>3912</v>
      </c>
      <c r="Q123" s="24">
        <f t="shared" si="23"/>
        <v>1</v>
      </c>
      <c r="R123" s="716">
        <f t="shared" ca="1" si="24"/>
        <v>16858</v>
      </c>
      <c r="S123" s="361">
        <f t="shared" ca="1" si="15"/>
        <v>32</v>
      </c>
    </row>
    <row r="124" spans="1:19">
      <c r="A124" s="159"/>
      <c r="B124" s="59">
        <f>抵押物清单!C181</f>
        <v>25.45</v>
      </c>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t="s">
        <v>3912</v>
      </c>
      <c r="Q124" s="24">
        <f t="shared" si="23"/>
        <v>1</v>
      </c>
      <c r="R124" s="716">
        <f t="shared" ca="1" si="24"/>
        <v>16858</v>
      </c>
      <c r="S124" s="361">
        <f t="shared" ca="1" si="15"/>
        <v>43</v>
      </c>
    </row>
    <row r="125" spans="1:19">
      <c r="A125" s="159"/>
      <c r="B125" s="59">
        <f>抵押物清单!C182</f>
        <v>25.45</v>
      </c>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t="s">
        <v>3912</v>
      </c>
      <c r="Q125" s="24">
        <f t="shared" si="23"/>
        <v>1</v>
      </c>
      <c r="R125" s="716">
        <f t="shared" ca="1" si="24"/>
        <v>16858</v>
      </c>
      <c r="S125" s="361">
        <f t="shared" ca="1" si="15"/>
        <v>43</v>
      </c>
    </row>
    <row r="126" spans="1:19">
      <c r="A126" s="159"/>
      <c r="B126" s="59">
        <f>抵押物清单!C183</f>
        <v>25.45</v>
      </c>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t="s">
        <v>3912</v>
      </c>
      <c r="Q126" s="24">
        <f t="shared" si="23"/>
        <v>1</v>
      </c>
      <c r="R126" s="716">
        <f t="shared" ca="1" si="24"/>
        <v>16858</v>
      </c>
      <c r="S126" s="361">
        <f t="shared" ca="1" si="15"/>
        <v>43</v>
      </c>
    </row>
    <row r="127" spans="1:19">
      <c r="A127" s="159"/>
      <c r="B127" s="59">
        <f>抵押物清单!C184</f>
        <v>25.45</v>
      </c>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t="s">
        <v>3912</v>
      </c>
      <c r="Q127" s="24">
        <f t="shared" si="23"/>
        <v>1</v>
      </c>
      <c r="R127" s="716">
        <f t="shared" ca="1" si="24"/>
        <v>16858</v>
      </c>
      <c r="S127" s="361">
        <f t="shared" ca="1" si="15"/>
        <v>43</v>
      </c>
    </row>
    <row r="128" spans="1:19">
      <c r="A128" s="159"/>
      <c r="B128" s="59">
        <f>抵押物清单!C185</f>
        <v>25.45</v>
      </c>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t="s">
        <v>3912</v>
      </c>
      <c r="Q128" s="24">
        <f t="shared" si="23"/>
        <v>1</v>
      </c>
      <c r="R128" s="716">
        <f t="shared" ca="1" si="24"/>
        <v>16858</v>
      </c>
      <c r="S128" s="361">
        <f t="shared" ca="1" si="15"/>
        <v>43</v>
      </c>
    </row>
    <row r="129" spans="1:19">
      <c r="A129" s="159"/>
      <c r="B129" s="59">
        <f>抵押物清单!C186</f>
        <v>25.45</v>
      </c>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t="s">
        <v>3912</v>
      </c>
      <c r="Q129" s="24">
        <f t="shared" si="23"/>
        <v>1</v>
      </c>
      <c r="R129" s="716">
        <f t="shared" ca="1" si="24"/>
        <v>16858</v>
      </c>
      <c r="S129" s="361">
        <f t="shared" ca="1" si="15"/>
        <v>43</v>
      </c>
    </row>
    <row r="130" spans="1:19">
      <c r="A130" s="159"/>
      <c r="B130" s="59">
        <f>抵押物清单!C187</f>
        <v>25.45</v>
      </c>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t="s">
        <v>3912</v>
      </c>
      <c r="Q130" s="24">
        <f t="shared" si="23"/>
        <v>1</v>
      </c>
      <c r="R130" s="716">
        <f t="shared" ca="1" si="24"/>
        <v>16858</v>
      </c>
      <c r="S130" s="361">
        <f t="shared" ca="1" si="15"/>
        <v>43</v>
      </c>
    </row>
    <row r="131" spans="1:19">
      <c r="A131" s="159"/>
      <c r="B131" s="59">
        <f>抵押物清单!C188</f>
        <v>25.45</v>
      </c>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t="s">
        <v>3912</v>
      </c>
      <c r="Q131" s="24">
        <f t="shared" si="23"/>
        <v>1</v>
      </c>
      <c r="R131" s="716">
        <f t="shared" ca="1" si="24"/>
        <v>16858</v>
      </c>
      <c r="S131" s="361">
        <f t="shared" ca="1" si="15"/>
        <v>43</v>
      </c>
    </row>
    <row r="132" spans="1:19">
      <c r="A132" s="159"/>
      <c r="B132" s="59">
        <f>抵押物清单!C189</f>
        <v>25.45</v>
      </c>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t="s">
        <v>3912</v>
      </c>
      <c r="Q132" s="24">
        <f t="shared" si="23"/>
        <v>1</v>
      </c>
      <c r="R132" s="716">
        <f t="shared" ca="1" si="24"/>
        <v>16858</v>
      </c>
      <c r="S132" s="361">
        <f t="shared" ca="1" si="15"/>
        <v>43</v>
      </c>
    </row>
    <row r="133" spans="1:19">
      <c r="A133" s="159"/>
      <c r="B133" s="59">
        <f>抵押物清单!C190</f>
        <v>25.45</v>
      </c>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t="s">
        <v>3912</v>
      </c>
      <c r="Q133" s="24">
        <f t="shared" si="23"/>
        <v>1</v>
      </c>
      <c r="R133" s="716">
        <f t="shared" ca="1" si="24"/>
        <v>16858</v>
      </c>
      <c r="S133" s="361">
        <f t="shared" ca="1" si="15"/>
        <v>43</v>
      </c>
    </row>
    <row r="134" spans="1:19">
      <c r="A134" s="159"/>
      <c r="B134" s="59">
        <f>抵押物清单!C191</f>
        <v>25.45</v>
      </c>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t="s">
        <v>3912</v>
      </c>
      <c r="Q134" s="24">
        <f t="shared" si="23"/>
        <v>1</v>
      </c>
      <c r="R134" s="716">
        <f t="shared" ca="1" si="24"/>
        <v>16858</v>
      </c>
      <c r="S134" s="361">
        <f t="shared" ca="1" si="15"/>
        <v>43</v>
      </c>
    </row>
    <row r="135" spans="1:19">
      <c r="A135" s="159"/>
      <c r="B135" s="59">
        <f>抵押物清单!C192</f>
        <v>28.2</v>
      </c>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t="s">
        <v>3912</v>
      </c>
      <c r="Q135" s="24">
        <f t="shared" si="23"/>
        <v>1</v>
      </c>
      <c r="R135" s="716">
        <f t="shared" ca="1" si="24"/>
        <v>16858</v>
      </c>
      <c r="S135" s="361">
        <f t="shared" ca="1" si="15"/>
        <v>48</v>
      </c>
    </row>
    <row r="136" spans="1:19">
      <c r="A136" s="159"/>
      <c r="B136" s="59">
        <f>抵押物清单!C193</f>
        <v>26.82</v>
      </c>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t="s">
        <v>3912</v>
      </c>
      <c r="Q136" s="24">
        <f t="shared" si="23"/>
        <v>1</v>
      </c>
      <c r="R136" s="716">
        <f t="shared" ca="1" si="24"/>
        <v>16858</v>
      </c>
      <c r="S136" s="361">
        <f t="shared" ca="1" si="15"/>
        <v>45</v>
      </c>
    </row>
    <row r="137" spans="1:19">
      <c r="A137" s="159"/>
      <c r="B137" s="59">
        <f>抵押物清单!C194</f>
        <v>19.61</v>
      </c>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t="s">
        <v>3912</v>
      </c>
      <c r="Q137" s="24">
        <f t="shared" si="23"/>
        <v>1</v>
      </c>
      <c r="R137" s="716">
        <f t="shared" ca="1" si="24"/>
        <v>16858</v>
      </c>
      <c r="S137" s="361">
        <f t="shared" ca="1" si="15"/>
        <v>33</v>
      </c>
    </row>
    <row r="138" spans="1:19">
      <c r="A138" s="159"/>
      <c r="B138" s="59">
        <f>抵押物清单!C195</f>
        <v>25.45</v>
      </c>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t="s">
        <v>3912</v>
      </c>
      <c r="Q138" s="24">
        <f t="shared" si="23"/>
        <v>1</v>
      </c>
      <c r="R138" s="716">
        <f t="shared" ca="1" si="24"/>
        <v>16858</v>
      </c>
      <c r="S138" s="361">
        <f t="shared" ca="1" si="15"/>
        <v>43</v>
      </c>
    </row>
    <row r="139" spans="1:19">
      <c r="A139" s="159"/>
      <c r="B139" s="59">
        <f>抵押物清单!C196</f>
        <v>25.45</v>
      </c>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t="s">
        <v>3912</v>
      </c>
      <c r="Q139" s="24">
        <f t="shared" si="23"/>
        <v>1</v>
      </c>
      <c r="R139" s="716">
        <f t="shared" ca="1" si="24"/>
        <v>16858</v>
      </c>
      <c r="S139" s="361">
        <f t="shared" ca="1" si="15"/>
        <v>43</v>
      </c>
    </row>
    <row r="140" spans="1:19">
      <c r="A140" s="159"/>
      <c r="B140" s="59">
        <f>抵押物清单!C197</f>
        <v>25.45</v>
      </c>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t="s">
        <v>3912</v>
      </c>
      <c r="Q140" s="24">
        <f t="shared" si="23"/>
        <v>1</v>
      </c>
      <c r="R140" s="716">
        <f t="shared" ca="1" si="24"/>
        <v>16858</v>
      </c>
      <c r="S140" s="361">
        <f t="shared" ca="1" si="15"/>
        <v>43</v>
      </c>
    </row>
    <row r="141" spans="1:19">
      <c r="A141" s="159"/>
      <c r="B141" s="59">
        <f>抵押物清单!C198</f>
        <v>25.45</v>
      </c>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t="s">
        <v>3912</v>
      </c>
      <c r="Q141" s="24">
        <f t="shared" si="23"/>
        <v>1</v>
      </c>
      <c r="R141" s="716">
        <f t="shared" ca="1" si="24"/>
        <v>16858</v>
      </c>
      <c r="S141" s="361">
        <f t="shared" ca="1" si="15"/>
        <v>43</v>
      </c>
    </row>
    <row r="142" spans="1:19">
      <c r="A142" s="159"/>
      <c r="B142" s="59">
        <f>抵押物清单!C199</f>
        <v>25.45</v>
      </c>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t="s">
        <v>3912</v>
      </c>
      <c r="Q142" s="24">
        <f t="shared" si="23"/>
        <v>1</v>
      </c>
      <c r="R142" s="716">
        <f t="shared" ca="1" si="24"/>
        <v>16858</v>
      </c>
      <c r="S142" s="361">
        <f t="shared" ca="1" si="15"/>
        <v>43</v>
      </c>
    </row>
    <row r="143" spans="1:19">
      <c r="A143" s="159"/>
      <c r="B143" s="59">
        <f>抵押物清单!C200</f>
        <v>25.45</v>
      </c>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t="s">
        <v>3912</v>
      </c>
      <c r="Q143" s="24">
        <f t="shared" si="23"/>
        <v>1</v>
      </c>
      <c r="R143" s="716">
        <f t="shared" ca="1" si="24"/>
        <v>16858</v>
      </c>
      <c r="S143" s="361">
        <f t="shared" ca="1" si="15"/>
        <v>43</v>
      </c>
    </row>
    <row r="144" spans="1:19">
      <c r="A144" s="159"/>
      <c r="B144" s="59">
        <f>抵押物清单!C201</f>
        <v>25.45</v>
      </c>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t="s">
        <v>3912</v>
      </c>
      <c r="Q144" s="24">
        <f t="shared" si="23"/>
        <v>1</v>
      </c>
      <c r="R144" s="716">
        <f t="shared" ca="1" si="24"/>
        <v>16858</v>
      </c>
      <c r="S144" s="361">
        <f t="shared" ca="1" si="15"/>
        <v>43</v>
      </c>
    </row>
    <row r="145" spans="1:19">
      <c r="A145" s="159"/>
      <c r="B145" s="59">
        <f>抵押物清单!C202</f>
        <v>25.45</v>
      </c>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t="s">
        <v>3912</v>
      </c>
      <c r="Q145" s="24">
        <f t="shared" si="23"/>
        <v>1</v>
      </c>
      <c r="R145" s="716">
        <f t="shared" ca="1" si="24"/>
        <v>16858</v>
      </c>
      <c r="S145" s="361">
        <f t="shared" ca="1" si="15"/>
        <v>43</v>
      </c>
    </row>
    <row r="146" spans="1:19">
      <c r="A146" s="159"/>
      <c r="B146" s="59">
        <f>抵押物清单!C203</f>
        <v>25.45</v>
      </c>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t="s">
        <v>3912</v>
      </c>
      <c r="Q146" s="24">
        <f t="shared" si="23"/>
        <v>1</v>
      </c>
      <c r="R146" s="716">
        <f t="shared" ca="1" si="24"/>
        <v>16858</v>
      </c>
      <c r="S146" s="361">
        <f t="shared" ca="1" si="15"/>
        <v>43</v>
      </c>
    </row>
    <row r="147" spans="1:19">
      <c r="A147" s="159"/>
      <c r="B147" s="59">
        <f>抵押物清单!C204</f>
        <v>23.74</v>
      </c>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t="s">
        <v>3912</v>
      </c>
      <c r="Q147" s="24">
        <f t="shared" si="23"/>
        <v>1</v>
      </c>
      <c r="R147" s="716">
        <f t="shared" ca="1" si="24"/>
        <v>16858</v>
      </c>
      <c r="S147" s="361">
        <f t="shared" ca="1" si="15"/>
        <v>40</v>
      </c>
    </row>
    <row r="148" spans="1:19">
      <c r="A148" s="159"/>
      <c r="B148" s="59">
        <f>抵押物清单!C205</f>
        <v>22.67</v>
      </c>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t="s">
        <v>3912</v>
      </c>
      <c r="Q148" s="24">
        <f t="shared" si="23"/>
        <v>1</v>
      </c>
      <c r="R148" s="716">
        <f t="shared" ca="1" si="24"/>
        <v>16858</v>
      </c>
      <c r="S148" s="361">
        <f t="shared" ca="1" si="15"/>
        <v>38</v>
      </c>
    </row>
    <row r="149" spans="1:19">
      <c r="A149" s="159"/>
      <c r="B149" s="59">
        <f>抵押物清单!C206</f>
        <v>22.67</v>
      </c>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t="s">
        <v>3912</v>
      </c>
      <c r="Q149" s="24">
        <f t="shared" si="23"/>
        <v>1</v>
      </c>
      <c r="R149" s="716">
        <f t="shared" ca="1" si="24"/>
        <v>16858</v>
      </c>
      <c r="S149" s="361">
        <f t="shared" ca="1" si="15"/>
        <v>38</v>
      </c>
    </row>
    <row r="150" spans="1:19">
      <c r="A150" s="159"/>
      <c r="B150" s="59">
        <f>抵押物清单!C207</f>
        <v>23.74</v>
      </c>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t="s">
        <v>3912</v>
      </c>
      <c r="Q150" s="24">
        <f t="shared" si="23"/>
        <v>1</v>
      </c>
      <c r="R150" s="716">
        <f t="shared" ca="1" si="24"/>
        <v>16858</v>
      </c>
      <c r="S150" s="361">
        <f t="shared" ca="1" si="15"/>
        <v>40</v>
      </c>
    </row>
    <row r="151" spans="1:19">
      <c r="A151" s="159"/>
      <c r="B151" s="59">
        <f>抵押物清单!C208</f>
        <v>25.45</v>
      </c>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t="s">
        <v>3912</v>
      </c>
      <c r="Q151" s="24">
        <f t="shared" si="23"/>
        <v>1</v>
      </c>
      <c r="R151" s="716">
        <f t="shared" ca="1" si="24"/>
        <v>16858</v>
      </c>
      <c r="S151" s="361">
        <f t="shared" ca="1" si="15"/>
        <v>43</v>
      </c>
    </row>
    <row r="152" spans="1:19">
      <c r="A152" s="159"/>
      <c r="B152" s="59">
        <f>抵押物清单!C209</f>
        <v>25.45</v>
      </c>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t="s">
        <v>3912</v>
      </c>
      <c r="Q152" s="24">
        <f t="shared" si="23"/>
        <v>1</v>
      </c>
      <c r="R152" s="716">
        <f t="shared" ca="1" si="24"/>
        <v>16858</v>
      </c>
      <c r="S152" s="361">
        <f t="shared" ref="S152:S215" ca="1" si="25">ROUND(R152*B152/10000,0)</f>
        <v>43</v>
      </c>
    </row>
    <row r="153" spans="1:19">
      <c r="A153" s="159"/>
      <c r="B153" s="59">
        <f>抵押物清单!C210</f>
        <v>25.45</v>
      </c>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t="s">
        <v>3912</v>
      </c>
      <c r="Q153" s="24">
        <f t="shared" si="23"/>
        <v>1</v>
      </c>
      <c r="R153" s="716">
        <f t="shared" ca="1" si="24"/>
        <v>16858</v>
      </c>
      <c r="S153" s="361">
        <f t="shared" ca="1" si="25"/>
        <v>43</v>
      </c>
    </row>
    <row r="154" spans="1:19">
      <c r="A154" s="159"/>
      <c r="B154" s="59">
        <f>抵押物清单!C211</f>
        <v>25.45</v>
      </c>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t="s">
        <v>3912</v>
      </c>
      <c r="Q154" s="24">
        <f t="shared" ref="Q154:Q217" si="33">(SUMIF($17:$17,P154,$18:$18)-SUMIF($17:$17,$P$24,$18:$18)+100)/100</f>
        <v>1</v>
      </c>
      <c r="R154" s="716">
        <f t="shared" ref="R154:R217" ca="1" si="34">IF(B154="",0,ROUND($R$24*C154*E154*G154*I154*K154*M154*O154*Q154,0))</f>
        <v>16858</v>
      </c>
      <c r="S154" s="361">
        <f t="shared" ca="1" si="25"/>
        <v>43</v>
      </c>
    </row>
    <row r="155" spans="1:19">
      <c r="A155" s="159"/>
      <c r="B155" s="59">
        <f>抵押物清单!C212</f>
        <v>25.45</v>
      </c>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t="s">
        <v>3912</v>
      </c>
      <c r="Q155" s="24">
        <f t="shared" si="33"/>
        <v>1</v>
      </c>
      <c r="R155" s="716">
        <f t="shared" ca="1" si="34"/>
        <v>16858</v>
      </c>
      <c r="S155" s="361">
        <f t="shared" ca="1" si="25"/>
        <v>43</v>
      </c>
    </row>
    <row r="156" spans="1:19">
      <c r="A156" s="159"/>
      <c r="B156" s="59">
        <f>抵押物清单!C213</f>
        <v>25.45</v>
      </c>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t="s">
        <v>3912</v>
      </c>
      <c r="Q156" s="24">
        <f t="shared" si="33"/>
        <v>1</v>
      </c>
      <c r="R156" s="716">
        <f t="shared" ca="1" si="34"/>
        <v>16858</v>
      </c>
      <c r="S156" s="361">
        <f t="shared" ca="1" si="25"/>
        <v>43</v>
      </c>
    </row>
    <row r="157" spans="1:19">
      <c r="A157" s="159"/>
      <c r="B157" s="59">
        <f>抵押物清单!C214</f>
        <v>25.45</v>
      </c>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t="s">
        <v>3912</v>
      </c>
      <c r="Q157" s="24">
        <f t="shared" si="33"/>
        <v>1</v>
      </c>
      <c r="R157" s="716">
        <f t="shared" ca="1" si="34"/>
        <v>16858</v>
      </c>
      <c r="S157" s="361">
        <f t="shared" ca="1" si="25"/>
        <v>43</v>
      </c>
    </row>
    <row r="158" spans="1:19">
      <c r="A158" s="159"/>
      <c r="B158" s="59">
        <f>抵押物清单!C215</f>
        <v>25.45</v>
      </c>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t="s">
        <v>3912</v>
      </c>
      <c r="Q158" s="24">
        <f t="shared" si="33"/>
        <v>1</v>
      </c>
      <c r="R158" s="716">
        <f t="shared" ca="1" si="34"/>
        <v>16858</v>
      </c>
      <c r="S158" s="361">
        <f t="shared" ca="1" si="25"/>
        <v>43</v>
      </c>
    </row>
    <row r="159" spans="1:19">
      <c r="A159" s="159"/>
      <c r="B159" s="59">
        <f>抵押物清单!C216</f>
        <v>25.45</v>
      </c>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t="s">
        <v>3912</v>
      </c>
      <c r="Q159" s="24">
        <f t="shared" si="33"/>
        <v>1</v>
      </c>
      <c r="R159" s="716">
        <f t="shared" ca="1" si="34"/>
        <v>16858</v>
      </c>
      <c r="S159" s="361">
        <f t="shared" ca="1" si="25"/>
        <v>43</v>
      </c>
    </row>
    <row r="160" spans="1:19">
      <c r="A160" s="159"/>
      <c r="B160" s="59">
        <f>抵押物清单!C217</f>
        <v>19.61</v>
      </c>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t="s">
        <v>3912</v>
      </c>
      <c r="Q160" s="24">
        <f t="shared" si="33"/>
        <v>1</v>
      </c>
      <c r="R160" s="716">
        <f t="shared" ca="1" si="34"/>
        <v>16858</v>
      </c>
      <c r="S160" s="361">
        <f t="shared" ca="1" si="25"/>
        <v>33</v>
      </c>
    </row>
    <row r="161" spans="1:19">
      <c r="A161" s="159"/>
      <c r="B161" s="59">
        <f>抵押物清单!C218</f>
        <v>26.82</v>
      </c>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t="s">
        <v>3912</v>
      </c>
      <c r="Q161" s="24">
        <f t="shared" si="33"/>
        <v>1</v>
      </c>
      <c r="R161" s="716">
        <f t="shared" ca="1" si="34"/>
        <v>16858</v>
      </c>
      <c r="S161" s="361">
        <f t="shared" ca="1" si="25"/>
        <v>45</v>
      </c>
    </row>
    <row r="162" spans="1:19">
      <c r="A162" s="159"/>
      <c r="B162" s="59">
        <f>抵押物清单!C219</f>
        <v>28.2</v>
      </c>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t="s">
        <v>3912</v>
      </c>
      <c r="Q162" s="24">
        <f t="shared" si="33"/>
        <v>1</v>
      </c>
      <c r="R162" s="716">
        <f t="shared" ca="1" si="34"/>
        <v>16858</v>
      </c>
      <c r="S162" s="361">
        <f t="shared" ca="1" si="25"/>
        <v>48</v>
      </c>
    </row>
    <row r="163" spans="1:19">
      <c r="A163" s="159"/>
      <c r="B163" s="59">
        <f>抵押物清单!C220</f>
        <v>25.45</v>
      </c>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t="s">
        <v>3912</v>
      </c>
      <c r="Q163" s="24">
        <f t="shared" si="33"/>
        <v>1</v>
      </c>
      <c r="R163" s="716">
        <f t="shared" ca="1" si="34"/>
        <v>16858</v>
      </c>
      <c r="S163" s="361">
        <f t="shared" ca="1" si="25"/>
        <v>43</v>
      </c>
    </row>
    <row r="164" spans="1:19">
      <c r="A164" s="159"/>
      <c r="B164" s="59">
        <f>抵押物清单!C221</f>
        <v>25.45</v>
      </c>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t="s">
        <v>3912</v>
      </c>
      <c r="Q164" s="24">
        <f t="shared" si="33"/>
        <v>1</v>
      </c>
      <c r="R164" s="716">
        <f t="shared" ca="1" si="34"/>
        <v>16858</v>
      </c>
      <c r="S164" s="361">
        <f t="shared" ca="1" si="25"/>
        <v>43</v>
      </c>
    </row>
    <row r="165" spans="1:19">
      <c r="A165" s="159"/>
      <c r="B165" s="59">
        <f>抵押物清单!C222</f>
        <v>25.45</v>
      </c>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t="s">
        <v>3912</v>
      </c>
      <c r="Q165" s="24">
        <f t="shared" si="33"/>
        <v>1</v>
      </c>
      <c r="R165" s="716">
        <f t="shared" ca="1" si="34"/>
        <v>16858</v>
      </c>
      <c r="S165" s="361">
        <f t="shared" ca="1" si="25"/>
        <v>43</v>
      </c>
    </row>
    <row r="166" spans="1:19">
      <c r="A166" s="159"/>
      <c r="B166" s="59">
        <f>抵押物清单!C223</f>
        <v>25.45</v>
      </c>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t="s">
        <v>3912</v>
      </c>
      <c r="Q166" s="24">
        <f t="shared" si="33"/>
        <v>1</v>
      </c>
      <c r="R166" s="716">
        <f t="shared" ca="1" si="34"/>
        <v>16858</v>
      </c>
      <c r="S166" s="361">
        <f t="shared" ca="1" si="25"/>
        <v>43</v>
      </c>
    </row>
    <row r="167" spans="1:19">
      <c r="A167" s="159"/>
      <c r="B167" s="59">
        <f>抵押物清单!C224</f>
        <v>25.45</v>
      </c>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t="s">
        <v>3912</v>
      </c>
      <c r="Q167" s="24">
        <f t="shared" si="33"/>
        <v>1</v>
      </c>
      <c r="R167" s="716">
        <f t="shared" ca="1" si="34"/>
        <v>16858</v>
      </c>
      <c r="S167" s="361">
        <f t="shared" ca="1" si="25"/>
        <v>43</v>
      </c>
    </row>
    <row r="168" spans="1:19">
      <c r="A168" s="159"/>
      <c r="B168" s="59">
        <f>抵押物清单!C225</f>
        <v>25.45</v>
      </c>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t="s">
        <v>3912</v>
      </c>
      <c r="Q168" s="24">
        <f t="shared" si="33"/>
        <v>1</v>
      </c>
      <c r="R168" s="716">
        <f t="shared" ca="1" si="34"/>
        <v>16858</v>
      </c>
      <c r="S168" s="361">
        <f t="shared" ca="1" si="25"/>
        <v>43</v>
      </c>
    </row>
    <row r="169" spans="1:19">
      <c r="A169" s="159"/>
      <c r="B169" s="59">
        <f>抵押物清单!C226</f>
        <v>25.45</v>
      </c>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t="s">
        <v>3912</v>
      </c>
      <c r="Q169" s="24">
        <f t="shared" si="33"/>
        <v>1</v>
      </c>
      <c r="R169" s="716">
        <f t="shared" ca="1" si="34"/>
        <v>16858</v>
      </c>
      <c r="S169" s="361">
        <f t="shared" ca="1" si="25"/>
        <v>43</v>
      </c>
    </row>
    <row r="170" spans="1:19">
      <c r="A170" s="159"/>
      <c r="B170" s="59">
        <f>抵押物清单!C227</f>
        <v>25.45</v>
      </c>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t="s">
        <v>3912</v>
      </c>
      <c r="Q170" s="24">
        <f t="shared" si="33"/>
        <v>1</v>
      </c>
      <c r="R170" s="716">
        <f t="shared" ca="1" si="34"/>
        <v>16858</v>
      </c>
      <c r="S170" s="361">
        <f t="shared" ca="1" si="25"/>
        <v>43</v>
      </c>
    </row>
    <row r="171" spans="1:19">
      <c r="A171" s="159"/>
      <c r="B171" s="59">
        <f>抵押物清单!C228</f>
        <v>25.45</v>
      </c>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t="s">
        <v>3912</v>
      </c>
      <c r="Q171" s="24">
        <f t="shared" si="33"/>
        <v>1</v>
      </c>
      <c r="R171" s="716">
        <f t="shared" ca="1" si="34"/>
        <v>16858</v>
      </c>
      <c r="S171" s="361">
        <f t="shared" ca="1" si="25"/>
        <v>43</v>
      </c>
    </row>
    <row r="172" spans="1:19">
      <c r="A172" s="159"/>
      <c r="B172" s="59">
        <f>抵押物清单!C229</f>
        <v>25.45</v>
      </c>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t="s">
        <v>3912</v>
      </c>
      <c r="Q172" s="24">
        <f t="shared" si="33"/>
        <v>1</v>
      </c>
      <c r="R172" s="716">
        <f t="shared" ca="1" si="34"/>
        <v>16858</v>
      </c>
      <c r="S172" s="361">
        <f t="shared" ca="1" si="25"/>
        <v>43</v>
      </c>
    </row>
    <row r="173" spans="1:19">
      <c r="A173" s="159"/>
      <c r="B173" s="59">
        <f>抵押物清单!C230</f>
        <v>25.45</v>
      </c>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t="s">
        <v>3912</v>
      </c>
      <c r="Q173" s="24">
        <f t="shared" si="33"/>
        <v>1</v>
      </c>
      <c r="R173" s="716">
        <f t="shared" ca="1" si="34"/>
        <v>16858</v>
      </c>
      <c r="S173" s="361">
        <f t="shared" ca="1" si="25"/>
        <v>43</v>
      </c>
    </row>
    <row r="174" spans="1:19">
      <c r="A174" s="159"/>
      <c r="B174" s="59">
        <f>抵押物清单!C231</f>
        <v>19.07</v>
      </c>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t="s">
        <v>3912</v>
      </c>
      <c r="Q174" s="24">
        <f t="shared" si="33"/>
        <v>1</v>
      </c>
      <c r="R174" s="716">
        <f t="shared" ca="1" si="34"/>
        <v>16858</v>
      </c>
      <c r="S174" s="361">
        <f t="shared" ca="1" si="25"/>
        <v>32</v>
      </c>
    </row>
    <row r="175" spans="1:19">
      <c r="A175" s="159"/>
      <c r="B175" s="59">
        <f>抵押物清单!C232</f>
        <v>20.28</v>
      </c>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t="s">
        <v>3912</v>
      </c>
      <c r="Q175" s="24">
        <f t="shared" si="33"/>
        <v>1</v>
      </c>
      <c r="R175" s="716">
        <f t="shared" ca="1" si="34"/>
        <v>16858</v>
      </c>
      <c r="S175" s="361">
        <f t="shared" ca="1" si="25"/>
        <v>34</v>
      </c>
    </row>
    <row r="176" spans="1:19">
      <c r="A176" s="159"/>
      <c r="B176" s="59">
        <f>抵押物清单!C233</f>
        <v>19.829999999999998</v>
      </c>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t="s">
        <v>3912</v>
      </c>
      <c r="Q176" s="24">
        <f t="shared" si="33"/>
        <v>1</v>
      </c>
      <c r="R176" s="716">
        <f t="shared" ca="1" si="34"/>
        <v>16858</v>
      </c>
      <c r="S176" s="361">
        <f t="shared" ca="1" si="25"/>
        <v>33</v>
      </c>
    </row>
    <row r="177" spans="1:19">
      <c r="A177" s="159"/>
      <c r="B177" s="59">
        <f>抵押物清单!C234</f>
        <v>19.829999999999998</v>
      </c>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t="s">
        <v>3912</v>
      </c>
      <c r="Q177" s="24">
        <f t="shared" si="33"/>
        <v>1</v>
      </c>
      <c r="R177" s="716">
        <f t="shared" ca="1" si="34"/>
        <v>16858</v>
      </c>
      <c r="S177" s="361">
        <f t="shared" ca="1" si="25"/>
        <v>33</v>
      </c>
    </row>
    <row r="178" spans="1:19">
      <c r="A178" s="159"/>
      <c r="B178" s="59">
        <f>抵押物清单!C235</f>
        <v>19.28</v>
      </c>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t="s">
        <v>3912</v>
      </c>
      <c r="Q178" s="24">
        <f t="shared" si="33"/>
        <v>1</v>
      </c>
      <c r="R178" s="716">
        <f t="shared" ca="1" si="34"/>
        <v>16858</v>
      </c>
      <c r="S178" s="361">
        <f t="shared" ca="1" si="25"/>
        <v>33</v>
      </c>
    </row>
    <row r="179" spans="1:19">
      <c r="A179" s="159"/>
      <c r="B179" s="59">
        <f>抵押物清单!C236</f>
        <v>28.48</v>
      </c>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t="s">
        <v>3912</v>
      </c>
      <c r="Q179" s="24">
        <f t="shared" si="33"/>
        <v>1</v>
      </c>
      <c r="R179" s="716">
        <f t="shared" ca="1" si="34"/>
        <v>16858</v>
      </c>
      <c r="S179" s="361">
        <f t="shared" ca="1" si="25"/>
        <v>48</v>
      </c>
    </row>
    <row r="180" spans="1:19">
      <c r="A180" s="159"/>
      <c r="B180" s="59">
        <f>抵押物清单!C237</f>
        <v>35.409999999999997</v>
      </c>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t="s">
        <v>3912</v>
      </c>
      <c r="Q180" s="24">
        <f t="shared" si="33"/>
        <v>1</v>
      </c>
      <c r="R180" s="716">
        <f t="shared" ca="1" si="34"/>
        <v>16858</v>
      </c>
      <c r="S180" s="361">
        <f t="shared" ca="1" si="25"/>
        <v>60</v>
      </c>
    </row>
    <row r="181" spans="1:19">
      <c r="A181" s="159"/>
      <c r="B181" s="59">
        <f>抵押物清单!C238</f>
        <v>34.29</v>
      </c>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t="s">
        <v>3912</v>
      </c>
      <c r="Q181" s="24">
        <f t="shared" si="33"/>
        <v>1</v>
      </c>
      <c r="R181" s="716">
        <f t="shared" ca="1" si="34"/>
        <v>16858</v>
      </c>
      <c r="S181" s="361">
        <f t="shared" ca="1" si="25"/>
        <v>58</v>
      </c>
    </row>
    <row r="182" spans="1:19">
      <c r="A182" s="159"/>
      <c r="B182" s="59">
        <f>抵押物清单!C239</f>
        <v>36.78</v>
      </c>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t="s">
        <v>3912</v>
      </c>
      <c r="Q182" s="24">
        <f t="shared" si="33"/>
        <v>1</v>
      </c>
      <c r="R182" s="716">
        <f t="shared" ca="1" si="34"/>
        <v>16858</v>
      </c>
      <c r="S182" s="361">
        <f t="shared" ca="1" si="25"/>
        <v>62</v>
      </c>
    </row>
    <row r="183" spans="1:19">
      <c r="A183" s="159"/>
      <c r="B183" s="59">
        <f>抵押物清单!C240</f>
        <v>36.5</v>
      </c>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t="s">
        <v>3912</v>
      </c>
      <c r="Q183" s="24">
        <f t="shared" si="33"/>
        <v>1</v>
      </c>
      <c r="R183" s="716">
        <f t="shared" ca="1" si="34"/>
        <v>16858</v>
      </c>
      <c r="S183" s="361">
        <f t="shared" ca="1" si="25"/>
        <v>62</v>
      </c>
    </row>
    <row r="184" spans="1:19">
      <c r="A184" s="159"/>
      <c r="B184" s="59">
        <f>抵押物清单!C241</f>
        <v>33.200000000000003</v>
      </c>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t="s">
        <v>3912</v>
      </c>
      <c r="Q184" s="24">
        <f t="shared" si="33"/>
        <v>1</v>
      </c>
      <c r="R184" s="716">
        <f t="shared" ca="1" si="34"/>
        <v>16858</v>
      </c>
      <c r="S184" s="361">
        <f t="shared" ca="1" si="25"/>
        <v>56</v>
      </c>
    </row>
    <row r="185" spans="1:19">
      <c r="A185" s="159"/>
      <c r="B185" s="59">
        <f>抵押物清单!C242</f>
        <v>33.200000000000003</v>
      </c>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t="s">
        <v>3912</v>
      </c>
      <c r="Q185" s="24">
        <f t="shared" si="33"/>
        <v>1</v>
      </c>
      <c r="R185" s="716">
        <f t="shared" ca="1" si="34"/>
        <v>16858</v>
      </c>
      <c r="S185" s="361">
        <f t="shared" ca="1" si="25"/>
        <v>56</v>
      </c>
    </row>
    <row r="186" spans="1:19">
      <c r="A186" s="159"/>
      <c r="B186" s="59">
        <f>抵押物清单!C243</f>
        <v>24.9</v>
      </c>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t="s">
        <v>3912</v>
      </c>
      <c r="Q186" s="24">
        <f t="shared" si="33"/>
        <v>1</v>
      </c>
      <c r="R186" s="716">
        <f t="shared" ca="1" si="34"/>
        <v>16858</v>
      </c>
      <c r="S186" s="361">
        <f t="shared" ca="1" si="25"/>
        <v>42</v>
      </c>
    </row>
    <row r="187" spans="1:19">
      <c r="A187" s="159"/>
      <c r="B187" s="59">
        <f>抵押物清单!C244</f>
        <v>24.9</v>
      </c>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t="s">
        <v>3912</v>
      </c>
      <c r="Q187" s="24">
        <f t="shared" si="33"/>
        <v>1</v>
      </c>
      <c r="R187" s="716">
        <f t="shared" ca="1" si="34"/>
        <v>16858</v>
      </c>
      <c r="S187" s="361">
        <f t="shared" ca="1" si="25"/>
        <v>42</v>
      </c>
    </row>
    <row r="188" spans="1:19">
      <c r="A188" s="159"/>
      <c r="B188" s="59">
        <f>抵押物清单!C245</f>
        <v>24.9</v>
      </c>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t="s">
        <v>3912</v>
      </c>
      <c r="Q188" s="24">
        <f t="shared" si="33"/>
        <v>1</v>
      </c>
      <c r="R188" s="716">
        <f t="shared" ca="1" si="34"/>
        <v>16858</v>
      </c>
      <c r="S188" s="361">
        <f t="shared" ca="1" si="25"/>
        <v>42</v>
      </c>
    </row>
    <row r="189" spans="1:19">
      <c r="A189" s="159"/>
      <c r="B189" s="59">
        <f>抵押物清单!C246</f>
        <v>24.9</v>
      </c>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t="s">
        <v>3912</v>
      </c>
      <c r="Q189" s="24">
        <f t="shared" si="33"/>
        <v>1</v>
      </c>
      <c r="R189" s="716">
        <f t="shared" ca="1" si="34"/>
        <v>16858</v>
      </c>
      <c r="S189" s="361">
        <f t="shared" ca="1" si="25"/>
        <v>42</v>
      </c>
    </row>
    <row r="190" spans="1:19">
      <c r="A190" s="159"/>
      <c r="B190" s="59">
        <f>抵押物清单!C247</f>
        <v>24.9</v>
      </c>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t="s">
        <v>3912</v>
      </c>
      <c r="Q190" s="24">
        <f t="shared" si="33"/>
        <v>1</v>
      </c>
      <c r="R190" s="716">
        <f t="shared" ca="1" si="34"/>
        <v>16858</v>
      </c>
      <c r="S190" s="361">
        <f t="shared" ca="1" si="25"/>
        <v>42</v>
      </c>
    </row>
    <row r="191" spans="1:19">
      <c r="A191" s="159"/>
      <c r="B191" s="59">
        <f>抵押物清单!C248</f>
        <v>24.9</v>
      </c>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t="s">
        <v>3912</v>
      </c>
      <c r="Q191" s="24">
        <f t="shared" si="33"/>
        <v>1</v>
      </c>
      <c r="R191" s="716">
        <f t="shared" ca="1" si="34"/>
        <v>16858</v>
      </c>
      <c r="S191" s="361">
        <f t="shared" ca="1" si="25"/>
        <v>42</v>
      </c>
    </row>
    <row r="192" spans="1:19">
      <c r="A192" s="159"/>
      <c r="B192" s="59">
        <f>抵押物清单!C249</f>
        <v>24.9</v>
      </c>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t="s">
        <v>3912</v>
      </c>
      <c r="Q192" s="24">
        <f t="shared" si="33"/>
        <v>1</v>
      </c>
      <c r="R192" s="716">
        <f t="shared" ca="1" si="34"/>
        <v>16858</v>
      </c>
      <c r="S192" s="361">
        <f t="shared" ca="1" si="25"/>
        <v>42</v>
      </c>
    </row>
    <row r="193" spans="1:19">
      <c r="A193" s="159"/>
      <c r="B193" s="59">
        <f>抵押物清单!C250</f>
        <v>24.9</v>
      </c>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t="s">
        <v>3912</v>
      </c>
      <c r="Q193" s="24">
        <f t="shared" si="33"/>
        <v>1</v>
      </c>
      <c r="R193" s="716">
        <f t="shared" ca="1" si="34"/>
        <v>16858</v>
      </c>
      <c r="S193" s="361">
        <f t="shared" ca="1" si="25"/>
        <v>42</v>
      </c>
    </row>
    <row r="194" spans="1:19">
      <c r="A194" s="159"/>
      <c r="B194" s="59">
        <f>抵押物清单!C251</f>
        <v>38.159999999999997</v>
      </c>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t="s">
        <v>3912</v>
      </c>
      <c r="Q194" s="24">
        <f t="shared" si="33"/>
        <v>1</v>
      </c>
      <c r="R194" s="716">
        <f t="shared" ca="1" si="34"/>
        <v>16858</v>
      </c>
      <c r="S194" s="361">
        <f t="shared" ca="1" si="25"/>
        <v>64</v>
      </c>
    </row>
    <row r="195" spans="1:19">
      <c r="A195" s="159"/>
      <c r="B195" s="59">
        <f>抵押物清单!C252</f>
        <v>25.61</v>
      </c>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t="s">
        <v>3913</v>
      </c>
      <c r="Q195" s="24">
        <f t="shared" si="33"/>
        <v>0.65</v>
      </c>
      <c r="R195" s="716">
        <f t="shared" ca="1" si="34"/>
        <v>10958</v>
      </c>
      <c r="S195" s="361">
        <f t="shared" ca="1" si="25"/>
        <v>28</v>
      </c>
    </row>
    <row r="196" spans="1:19">
      <c r="A196" s="159"/>
      <c r="B196" s="59">
        <f>抵押物清单!C253</f>
        <v>25.61</v>
      </c>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t="s">
        <v>3913</v>
      </c>
      <c r="Q196" s="24">
        <f t="shared" si="33"/>
        <v>0.65</v>
      </c>
      <c r="R196" s="716">
        <f t="shared" ca="1" si="34"/>
        <v>10958</v>
      </c>
      <c r="S196" s="361">
        <f t="shared" ca="1" si="25"/>
        <v>28</v>
      </c>
    </row>
    <row r="197" spans="1:19">
      <c r="A197" s="159"/>
      <c r="B197" s="59">
        <f>抵押物清单!C254</f>
        <v>51.23</v>
      </c>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t="s">
        <v>3913</v>
      </c>
      <c r="Q197" s="24">
        <f t="shared" si="33"/>
        <v>0.65</v>
      </c>
      <c r="R197" s="716">
        <f t="shared" ca="1" si="34"/>
        <v>10958</v>
      </c>
      <c r="S197" s="361">
        <f t="shared" ca="1" si="25"/>
        <v>56</v>
      </c>
    </row>
    <row r="198" spans="1:19">
      <c r="A198" s="159"/>
      <c r="B198" s="59">
        <f>抵押物清单!C255</f>
        <v>25.61</v>
      </c>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t="s">
        <v>3913</v>
      </c>
      <c r="Q198" s="24">
        <f t="shared" si="33"/>
        <v>0.65</v>
      </c>
      <c r="R198" s="716">
        <f t="shared" ca="1" si="34"/>
        <v>10958</v>
      </c>
      <c r="S198" s="361">
        <f t="shared" ca="1" si="25"/>
        <v>28</v>
      </c>
    </row>
    <row r="199" spans="1:19">
      <c r="A199" s="159"/>
      <c r="B199" s="59">
        <f>抵押物清单!C256</f>
        <v>25.61</v>
      </c>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t="s">
        <v>3913</v>
      </c>
      <c r="Q199" s="24">
        <f t="shared" si="33"/>
        <v>0.65</v>
      </c>
      <c r="R199" s="716">
        <f t="shared" ca="1" si="34"/>
        <v>10958</v>
      </c>
      <c r="S199" s="361">
        <f t="shared" ca="1" si="25"/>
        <v>28</v>
      </c>
    </row>
    <row r="200" spans="1:19">
      <c r="A200" s="159"/>
      <c r="B200" s="59">
        <f>抵押物清单!C257</f>
        <v>26.04</v>
      </c>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t="s">
        <v>3913</v>
      </c>
      <c r="Q200" s="24">
        <f t="shared" si="33"/>
        <v>0.65</v>
      </c>
      <c r="R200" s="716">
        <f t="shared" ca="1" si="34"/>
        <v>10958</v>
      </c>
      <c r="S200" s="361">
        <f t="shared" ca="1" si="25"/>
        <v>29</v>
      </c>
    </row>
    <row r="201" spans="1:19">
      <c r="A201" s="159"/>
      <c r="B201" s="59">
        <f>抵押物清单!C258</f>
        <v>25.61</v>
      </c>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t="s">
        <v>3913</v>
      </c>
      <c r="Q201" s="24">
        <f t="shared" si="33"/>
        <v>0.65</v>
      </c>
      <c r="R201" s="716">
        <f t="shared" ca="1" si="34"/>
        <v>10958</v>
      </c>
      <c r="S201" s="361">
        <f t="shared" ca="1" si="25"/>
        <v>28</v>
      </c>
    </row>
    <row r="202" spans="1:19">
      <c r="A202" s="159"/>
      <c r="B202" s="59">
        <f>抵押物清单!C259</f>
        <v>25.61</v>
      </c>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t="s">
        <v>3913</v>
      </c>
      <c r="Q202" s="24">
        <f t="shared" si="33"/>
        <v>0.65</v>
      </c>
      <c r="R202" s="716">
        <f t="shared" ca="1" si="34"/>
        <v>10958</v>
      </c>
      <c r="S202" s="361">
        <f t="shared" ca="1" si="25"/>
        <v>28</v>
      </c>
    </row>
    <row r="203" spans="1:19">
      <c r="A203" s="159"/>
      <c r="B203" s="59">
        <f>抵押物清单!C260</f>
        <v>25.61</v>
      </c>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t="s">
        <v>3913</v>
      </c>
      <c r="Q203" s="24">
        <f t="shared" si="33"/>
        <v>0.65</v>
      </c>
      <c r="R203" s="716">
        <f t="shared" ca="1" si="34"/>
        <v>10958</v>
      </c>
      <c r="S203" s="361">
        <f t="shared" ca="1" si="25"/>
        <v>28</v>
      </c>
    </row>
    <row r="204" spans="1:19">
      <c r="A204" s="159"/>
      <c r="B204" s="59">
        <f>抵押物清单!C261</f>
        <v>25.61</v>
      </c>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t="s">
        <v>3913</v>
      </c>
      <c r="Q204" s="24">
        <f t="shared" si="33"/>
        <v>0.65</v>
      </c>
      <c r="R204" s="716">
        <f t="shared" ca="1" si="34"/>
        <v>10958</v>
      </c>
      <c r="S204" s="361">
        <f t="shared" ca="1" si="25"/>
        <v>28</v>
      </c>
    </row>
    <row r="205" spans="1:19">
      <c r="A205" s="159"/>
      <c r="B205" s="59">
        <f>抵押物清单!C262</f>
        <v>51.23</v>
      </c>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t="s">
        <v>3913</v>
      </c>
      <c r="Q205" s="24">
        <f t="shared" si="33"/>
        <v>0.65</v>
      </c>
      <c r="R205" s="716">
        <f t="shared" ca="1" si="34"/>
        <v>10958</v>
      </c>
      <c r="S205" s="361">
        <f t="shared" ca="1" si="25"/>
        <v>56</v>
      </c>
    </row>
    <row r="206" spans="1:19">
      <c r="A206" s="159"/>
      <c r="B206" s="59">
        <f>抵押物清单!C263</f>
        <v>25.61</v>
      </c>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t="s">
        <v>3913</v>
      </c>
      <c r="Q206" s="24">
        <f t="shared" si="33"/>
        <v>0.65</v>
      </c>
      <c r="R206" s="716">
        <f t="shared" ca="1" si="34"/>
        <v>10958</v>
      </c>
      <c r="S206" s="361">
        <f t="shared" ca="1" si="25"/>
        <v>28</v>
      </c>
    </row>
    <row r="207" spans="1:19">
      <c r="A207" s="159"/>
      <c r="B207" s="59">
        <f>抵押物清单!C264</f>
        <v>25.61</v>
      </c>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t="s">
        <v>3913</v>
      </c>
      <c r="Q207" s="24">
        <f t="shared" si="33"/>
        <v>0.65</v>
      </c>
      <c r="R207" s="716">
        <f t="shared" ca="1" si="34"/>
        <v>10958</v>
      </c>
      <c r="S207" s="361">
        <f t="shared" ca="1" si="25"/>
        <v>28</v>
      </c>
    </row>
    <row r="208" spans="1:19">
      <c r="A208" s="159"/>
      <c r="B208" s="59">
        <f>抵押物清单!C265</f>
        <v>46.53</v>
      </c>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t="s">
        <v>3913</v>
      </c>
      <c r="Q208" s="24">
        <f t="shared" si="33"/>
        <v>0.65</v>
      </c>
      <c r="R208" s="716">
        <f t="shared" ca="1" si="34"/>
        <v>10958</v>
      </c>
      <c r="S208" s="361">
        <f t="shared" ca="1" si="25"/>
        <v>51</v>
      </c>
    </row>
    <row r="209" spans="1:19">
      <c r="A209" s="159"/>
      <c r="B209" s="59">
        <f>抵押物清单!C266</f>
        <v>54.76</v>
      </c>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t="s">
        <v>3913</v>
      </c>
      <c r="Q209" s="24">
        <f t="shared" si="33"/>
        <v>0.65</v>
      </c>
      <c r="R209" s="716">
        <f t="shared" ca="1" si="34"/>
        <v>10958</v>
      </c>
      <c r="S209" s="361">
        <f t="shared" ca="1" si="25"/>
        <v>60</v>
      </c>
    </row>
    <row r="210" spans="1:19">
      <c r="A210" s="159"/>
      <c r="B210" s="59">
        <f>抵押物清单!C267</f>
        <v>21.42</v>
      </c>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t="s">
        <v>3913</v>
      </c>
      <c r="Q210" s="24">
        <f t="shared" si="33"/>
        <v>0.65</v>
      </c>
      <c r="R210" s="716">
        <f t="shared" ca="1" si="34"/>
        <v>10958</v>
      </c>
      <c r="S210" s="361">
        <f t="shared" ca="1" si="25"/>
        <v>23</v>
      </c>
    </row>
    <row r="211" spans="1:19">
      <c r="A211" s="159"/>
      <c r="B211" s="59">
        <f>抵押物清单!C268</f>
        <v>26.18</v>
      </c>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t="s">
        <v>3913</v>
      </c>
      <c r="Q211" s="24">
        <f t="shared" si="33"/>
        <v>0.65</v>
      </c>
      <c r="R211" s="716">
        <f t="shared" ca="1" si="34"/>
        <v>10958</v>
      </c>
      <c r="S211" s="361">
        <f t="shared" ca="1" si="25"/>
        <v>29</v>
      </c>
    </row>
    <row r="212" spans="1:19">
      <c r="A212" s="159"/>
      <c r="B212" s="59">
        <f>抵押物清单!C269</f>
        <v>25.85</v>
      </c>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t="s">
        <v>3913</v>
      </c>
      <c r="Q212" s="24">
        <f t="shared" si="33"/>
        <v>0.65</v>
      </c>
      <c r="R212" s="716">
        <f t="shared" ca="1" si="34"/>
        <v>10958</v>
      </c>
      <c r="S212" s="361">
        <f t="shared" ca="1" si="25"/>
        <v>28</v>
      </c>
    </row>
    <row r="213" spans="1:19">
      <c r="A213" s="159"/>
      <c r="B213" s="59">
        <f>抵押物清单!C270</f>
        <v>24.52</v>
      </c>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t="s">
        <v>3913</v>
      </c>
      <c r="Q213" s="24">
        <f t="shared" si="33"/>
        <v>0.65</v>
      </c>
      <c r="R213" s="716">
        <f t="shared" ca="1" si="34"/>
        <v>10958</v>
      </c>
      <c r="S213" s="361">
        <f t="shared" ca="1" si="25"/>
        <v>27</v>
      </c>
    </row>
    <row r="214" spans="1:19">
      <c r="A214" s="159"/>
      <c r="B214" s="59">
        <f>抵押物清单!C271</f>
        <v>22.55</v>
      </c>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t="s">
        <v>3913</v>
      </c>
      <c r="Q214" s="24">
        <f t="shared" si="33"/>
        <v>0.65</v>
      </c>
      <c r="R214" s="716">
        <f t="shared" ca="1" si="34"/>
        <v>10958</v>
      </c>
      <c r="S214" s="361">
        <f t="shared" ca="1" si="25"/>
        <v>25</v>
      </c>
    </row>
    <row r="215" spans="1:19">
      <c r="A215" s="159"/>
      <c r="B215" s="59">
        <f>抵押物清单!C272</f>
        <v>30.07</v>
      </c>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t="s">
        <v>3913</v>
      </c>
      <c r="Q215" s="24">
        <f t="shared" si="33"/>
        <v>0.65</v>
      </c>
      <c r="R215" s="716">
        <f t="shared" ca="1" si="34"/>
        <v>10958</v>
      </c>
      <c r="S215" s="361">
        <f t="shared" ca="1" si="25"/>
        <v>33</v>
      </c>
    </row>
    <row r="216" spans="1:19">
      <c r="A216" s="159"/>
      <c r="B216" s="59">
        <f>抵押物清单!C273</f>
        <v>30.07</v>
      </c>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t="s">
        <v>3913</v>
      </c>
      <c r="Q216" s="24">
        <f t="shared" si="33"/>
        <v>0.65</v>
      </c>
      <c r="R216" s="716">
        <f t="shared" ca="1" si="34"/>
        <v>10958</v>
      </c>
      <c r="S216" s="361">
        <f t="shared" ref="S216:S279" ca="1" si="35">ROUND(R216*B216/10000,0)</f>
        <v>33</v>
      </c>
    </row>
    <row r="217" spans="1:19">
      <c r="A217" s="159"/>
      <c r="B217" s="59">
        <f>抵押物清单!C274</f>
        <v>30.07</v>
      </c>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t="s">
        <v>3913</v>
      </c>
      <c r="Q217" s="24">
        <f t="shared" si="33"/>
        <v>0.65</v>
      </c>
      <c r="R217" s="716">
        <f t="shared" ca="1" si="34"/>
        <v>10958</v>
      </c>
      <c r="S217" s="361">
        <f t="shared" ca="1" si="35"/>
        <v>33</v>
      </c>
    </row>
    <row r="218" spans="1:19">
      <c r="A218" s="159"/>
      <c r="B218" s="59">
        <f>抵押物清单!C275</f>
        <v>30.07</v>
      </c>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t="s">
        <v>3913</v>
      </c>
      <c r="Q218" s="24">
        <f t="shared" ref="Q218:Q281" si="43">(SUMIF($17:$17,P218,$18:$18)-SUMIF($17:$17,$P$24,$18:$18)+100)/100</f>
        <v>0.65</v>
      </c>
      <c r="R218" s="716">
        <f t="shared" ref="R218:R281" ca="1" si="44">IF(B218="",0,ROUND($R$24*C218*E218*G218*I218*K218*M218*O218*Q218,0))</f>
        <v>10958</v>
      </c>
      <c r="S218" s="361">
        <f t="shared" ca="1" si="35"/>
        <v>33</v>
      </c>
    </row>
    <row r="219" spans="1:19">
      <c r="A219" s="159"/>
      <c r="B219" s="59">
        <f>抵押物清单!C276</f>
        <v>30.07</v>
      </c>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t="s">
        <v>3913</v>
      </c>
      <c r="Q219" s="24">
        <f t="shared" si="43"/>
        <v>0.65</v>
      </c>
      <c r="R219" s="716">
        <f t="shared" ca="1" si="44"/>
        <v>10958</v>
      </c>
      <c r="S219" s="361">
        <f t="shared" ca="1" si="35"/>
        <v>33</v>
      </c>
    </row>
    <row r="220" spans="1:19">
      <c r="A220" s="159"/>
      <c r="B220" s="59">
        <f>抵押物清单!C277</f>
        <v>30.07</v>
      </c>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t="s">
        <v>3913</v>
      </c>
      <c r="Q220" s="24">
        <f t="shared" si="43"/>
        <v>0.65</v>
      </c>
      <c r="R220" s="716">
        <f t="shared" ca="1" si="44"/>
        <v>10958</v>
      </c>
      <c r="S220" s="361">
        <f t="shared" ca="1" si="35"/>
        <v>33</v>
      </c>
    </row>
    <row r="221" spans="1:19">
      <c r="A221" s="159"/>
      <c r="B221" s="59">
        <f>抵押物清单!C278</f>
        <v>30.07</v>
      </c>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t="s">
        <v>3913</v>
      </c>
      <c r="Q221" s="24">
        <f t="shared" si="43"/>
        <v>0.65</v>
      </c>
      <c r="R221" s="716">
        <f t="shared" ca="1" si="44"/>
        <v>10958</v>
      </c>
      <c r="S221" s="361">
        <f t="shared" ca="1" si="35"/>
        <v>33</v>
      </c>
    </row>
    <row r="222" spans="1:19">
      <c r="A222" s="159"/>
      <c r="B222" s="59">
        <f>抵押物清单!C279</f>
        <v>30.07</v>
      </c>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t="s">
        <v>3913</v>
      </c>
      <c r="Q222" s="24">
        <f t="shared" si="43"/>
        <v>0.65</v>
      </c>
      <c r="R222" s="716">
        <f t="shared" ca="1" si="44"/>
        <v>10958</v>
      </c>
      <c r="S222" s="361">
        <f t="shared" ca="1" si="35"/>
        <v>33</v>
      </c>
    </row>
    <row r="223" spans="1:19">
      <c r="A223" s="159"/>
      <c r="B223" s="59">
        <f>抵押物清单!C280</f>
        <v>30.07</v>
      </c>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t="s">
        <v>3913</v>
      </c>
      <c r="Q223" s="24">
        <f t="shared" si="43"/>
        <v>0.65</v>
      </c>
      <c r="R223" s="716">
        <f t="shared" ca="1" si="44"/>
        <v>10958</v>
      </c>
      <c r="S223" s="361">
        <f t="shared" ca="1" si="35"/>
        <v>33</v>
      </c>
    </row>
    <row r="224" spans="1:19">
      <c r="A224" s="159"/>
      <c r="B224" s="59">
        <f>抵押物清单!C281</f>
        <v>30.07</v>
      </c>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t="s">
        <v>3913</v>
      </c>
      <c r="Q224" s="24">
        <f t="shared" si="43"/>
        <v>0.65</v>
      </c>
      <c r="R224" s="716">
        <f t="shared" ca="1" si="44"/>
        <v>10958</v>
      </c>
      <c r="S224" s="361">
        <f t="shared" ca="1" si="35"/>
        <v>33</v>
      </c>
    </row>
    <row r="225" spans="1:19">
      <c r="A225" s="159"/>
      <c r="B225" s="59">
        <f>抵押物清单!C282</f>
        <v>30.07</v>
      </c>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t="s">
        <v>3913</v>
      </c>
      <c r="Q225" s="24">
        <f t="shared" si="43"/>
        <v>0.65</v>
      </c>
      <c r="R225" s="716">
        <f t="shared" ca="1" si="44"/>
        <v>10958</v>
      </c>
      <c r="S225" s="361">
        <f t="shared" ca="1" si="35"/>
        <v>33</v>
      </c>
    </row>
    <row r="226" spans="1:19">
      <c r="A226" s="159"/>
      <c r="B226" s="59">
        <f>抵押物清单!C283</f>
        <v>33.32</v>
      </c>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t="s">
        <v>3913</v>
      </c>
      <c r="Q226" s="24">
        <f t="shared" si="43"/>
        <v>0.65</v>
      </c>
      <c r="R226" s="716">
        <f t="shared" ca="1" si="44"/>
        <v>10958</v>
      </c>
      <c r="S226" s="361">
        <f t="shared" ca="1" si="35"/>
        <v>37</v>
      </c>
    </row>
    <row r="227" spans="1:19">
      <c r="A227" s="159"/>
      <c r="B227" s="59">
        <f>抵押物清单!C284</f>
        <v>31.8</v>
      </c>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t="s">
        <v>3913</v>
      </c>
      <c r="Q227" s="24">
        <f t="shared" si="43"/>
        <v>0.65</v>
      </c>
      <c r="R227" s="716">
        <f t="shared" ca="1" si="44"/>
        <v>10958</v>
      </c>
      <c r="S227" s="361">
        <f t="shared" ca="1" si="35"/>
        <v>35</v>
      </c>
    </row>
    <row r="228" spans="1:19">
      <c r="A228" s="159"/>
      <c r="B228" s="59">
        <f>抵押物清单!C285</f>
        <v>23.05</v>
      </c>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t="s">
        <v>3913</v>
      </c>
      <c r="Q228" s="24">
        <f t="shared" si="43"/>
        <v>0.65</v>
      </c>
      <c r="R228" s="716">
        <f t="shared" ca="1" si="44"/>
        <v>10958</v>
      </c>
      <c r="S228" s="361">
        <f t="shared" ca="1" si="35"/>
        <v>25</v>
      </c>
    </row>
    <row r="229" spans="1:19">
      <c r="A229" s="159"/>
      <c r="B229" s="59">
        <f>抵押物清单!C286</f>
        <v>30.07</v>
      </c>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t="s">
        <v>3913</v>
      </c>
      <c r="Q229" s="24">
        <f t="shared" si="43"/>
        <v>0.65</v>
      </c>
      <c r="R229" s="716">
        <f t="shared" ca="1" si="44"/>
        <v>10958</v>
      </c>
      <c r="S229" s="361">
        <f t="shared" ca="1" si="35"/>
        <v>33</v>
      </c>
    </row>
    <row r="230" spans="1:19">
      <c r="A230" s="159"/>
      <c r="B230" s="59">
        <f>抵押物清单!C287</f>
        <v>30.07</v>
      </c>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t="s">
        <v>3913</v>
      </c>
      <c r="Q230" s="24">
        <f t="shared" si="43"/>
        <v>0.65</v>
      </c>
      <c r="R230" s="716">
        <f t="shared" ca="1" si="44"/>
        <v>10958</v>
      </c>
      <c r="S230" s="361">
        <f t="shared" ca="1" si="35"/>
        <v>33</v>
      </c>
    </row>
    <row r="231" spans="1:19">
      <c r="A231" s="159"/>
      <c r="B231" s="59">
        <f>抵押物清单!C288</f>
        <v>30.07</v>
      </c>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t="s">
        <v>3913</v>
      </c>
      <c r="Q231" s="24">
        <f t="shared" si="43"/>
        <v>0.65</v>
      </c>
      <c r="R231" s="716">
        <f t="shared" ca="1" si="44"/>
        <v>10958</v>
      </c>
      <c r="S231" s="361">
        <f t="shared" ca="1" si="35"/>
        <v>33</v>
      </c>
    </row>
    <row r="232" spans="1:19">
      <c r="A232" s="159"/>
      <c r="B232" s="59">
        <f>抵押物清单!C289</f>
        <v>30.07</v>
      </c>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t="s">
        <v>3913</v>
      </c>
      <c r="Q232" s="24">
        <f t="shared" si="43"/>
        <v>0.65</v>
      </c>
      <c r="R232" s="716">
        <f t="shared" ca="1" si="44"/>
        <v>10958</v>
      </c>
      <c r="S232" s="361">
        <f t="shared" ca="1" si="35"/>
        <v>33</v>
      </c>
    </row>
    <row r="233" spans="1:19">
      <c r="A233" s="159"/>
      <c r="B233" s="59">
        <f>抵押物清单!C290</f>
        <v>30.07</v>
      </c>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t="s">
        <v>3913</v>
      </c>
      <c r="Q233" s="24">
        <f t="shared" si="43"/>
        <v>0.65</v>
      </c>
      <c r="R233" s="716">
        <f t="shared" ca="1" si="44"/>
        <v>10958</v>
      </c>
      <c r="S233" s="361">
        <f t="shared" ca="1" si="35"/>
        <v>33</v>
      </c>
    </row>
    <row r="234" spans="1:19">
      <c r="A234" s="159"/>
      <c r="B234" s="59">
        <f>抵押物清单!C291</f>
        <v>30.07</v>
      </c>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t="s">
        <v>3913</v>
      </c>
      <c r="Q234" s="24">
        <f t="shared" si="43"/>
        <v>0.65</v>
      </c>
      <c r="R234" s="716">
        <f t="shared" ca="1" si="44"/>
        <v>10958</v>
      </c>
      <c r="S234" s="361">
        <f t="shared" ca="1" si="35"/>
        <v>33</v>
      </c>
    </row>
    <row r="235" spans="1:19">
      <c r="A235" s="159"/>
      <c r="B235" s="59">
        <f>抵押物清单!C292</f>
        <v>30.07</v>
      </c>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t="s">
        <v>3913</v>
      </c>
      <c r="Q235" s="24">
        <f t="shared" si="43"/>
        <v>0.65</v>
      </c>
      <c r="R235" s="716">
        <f t="shared" ca="1" si="44"/>
        <v>10958</v>
      </c>
      <c r="S235" s="361">
        <f t="shared" ca="1" si="35"/>
        <v>33</v>
      </c>
    </row>
    <row r="236" spans="1:19">
      <c r="A236" s="159"/>
      <c r="B236" s="59">
        <f>抵押物清单!C293</f>
        <v>30.07</v>
      </c>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t="s">
        <v>3913</v>
      </c>
      <c r="Q236" s="24">
        <f t="shared" si="43"/>
        <v>0.65</v>
      </c>
      <c r="R236" s="716">
        <f t="shared" ca="1" si="44"/>
        <v>10958</v>
      </c>
      <c r="S236" s="361">
        <f t="shared" ca="1" si="35"/>
        <v>33</v>
      </c>
    </row>
    <row r="237" spans="1:19">
      <c r="A237" s="159"/>
      <c r="B237" s="59">
        <f>抵押物清单!C294</f>
        <v>30.07</v>
      </c>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t="s">
        <v>3913</v>
      </c>
      <c r="Q237" s="24">
        <f t="shared" si="43"/>
        <v>0.65</v>
      </c>
      <c r="R237" s="716">
        <f t="shared" ca="1" si="44"/>
        <v>10958</v>
      </c>
      <c r="S237" s="361">
        <f t="shared" ca="1" si="35"/>
        <v>33</v>
      </c>
    </row>
    <row r="238" spans="1:19">
      <c r="A238" s="159"/>
      <c r="B238" s="59">
        <f>抵押物清单!C295</f>
        <v>28.06</v>
      </c>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t="s">
        <v>3913</v>
      </c>
      <c r="Q238" s="24">
        <f t="shared" si="43"/>
        <v>0.65</v>
      </c>
      <c r="R238" s="716">
        <f t="shared" ca="1" si="44"/>
        <v>10958</v>
      </c>
      <c r="S238" s="361">
        <f t="shared" ca="1" si="35"/>
        <v>31</v>
      </c>
    </row>
    <row r="239" spans="1:19">
      <c r="A239" s="159"/>
      <c r="B239" s="59">
        <f>抵押物清单!C296</f>
        <v>26.8</v>
      </c>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t="s">
        <v>3913</v>
      </c>
      <c r="Q239" s="24">
        <f t="shared" si="43"/>
        <v>0.65</v>
      </c>
      <c r="R239" s="716">
        <f t="shared" ca="1" si="44"/>
        <v>10958</v>
      </c>
      <c r="S239" s="361">
        <f t="shared" ca="1" si="35"/>
        <v>29</v>
      </c>
    </row>
    <row r="240" spans="1:19">
      <c r="A240" s="159"/>
      <c r="B240" s="59">
        <f>抵押物清单!C297</f>
        <v>49.28</v>
      </c>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t="s">
        <v>3913</v>
      </c>
      <c r="Q240" s="24">
        <f t="shared" si="43"/>
        <v>0.65</v>
      </c>
      <c r="R240" s="716">
        <f t="shared" ca="1" si="44"/>
        <v>10958</v>
      </c>
      <c r="S240" s="361">
        <f t="shared" ca="1" si="35"/>
        <v>54</v>
      </c>
    </row>
    <row r="241" spans="1:19">
      <c r="A241" s="159"/>
      <c r="B241" s="59">
        <f>抵押物清单!C298</f>
        <v>44.47</v>
      </c>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t="s">
        <v>3913</v>
      </c>
      <c r="Q241" s="24">
        <f t="shared" si="43"/>
        <v>0.65</v>
      </c>
      <c r="R241" s="716">
        <f t="shared" ca="1" si="44"/>
        <v>10958</v>
      </c>
      <c r="S241" s="361">
        <f t="shared" ca="1" si="35"/>
        <v>49</v>
      </c>
    </row>
    <row r="242" spans="1:19">
      <c r="A242" s="159"/>
      <c r="B242" s="59">
        <f>抵押物清单!C299</f>
        <v>46.7</v>
      </c>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t="s">
        <v>3913</v>
      </c>
      <c r="Q242" s="24">
        <f t="shared" si="43"/>
        <v>0.65</v>
      </c>
      <c r="R242" s="716">
        <f t="shared" ca="1" si="44"/>
        <v>10958</v>
      </c>
      <c r="S242" s="361">
        <f t="shared" ca="1" si="35"/>
        <v>51</v>
      </c>
    </row>
    <row r="243" spans="1:19">
      <c r="A243" s="159"/>
      <c r="B243" s="59">
        <f>抵押物清单!C300</f>
        <v>26.94</v>
      </c>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t="s">
        <v>3913</v>
      </c>
      <c r="Q243" s="24">
        <f t="shared" si="43"/>
        <v>0.65</v>
      </c>
      <c r="R243" s="716">
        <f t="shared" ca="1" si="44"/>
        <v>10958</v>
      </c>
      <c r="S243" s="361">
        <f t="shared" ca="1" si="35"/>
        <v>30</v>
      </c>
    </row>
    <row r="244" spans="1:19">
      <c r="A244" s="159"/>
      <c r="B244" s="59">
        <f>抵押物清单!C301</f>
        <v>28.2</v>
      </c>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t="s">
        <v>3913</v>
      </c>
      <c r="Q244" s="24">
        <f t="shared" si="43"/>
        <v>0.65</v>
      </c>
      <c r="R244" s="716">
        <f t="shared" ca="1" si="44"/>
        <v>10958</v>
      </c>
      <c r="S244" s="361">
        <f t="shared" ca="1" si="35"/>
        <v>31</v>
      </c>
    </row>
    <row r="245" spans="1:19">
      <c r="A245" s="159"/>
      <c r="B245" s="59">
        <f>抵押物清单!C302</f>
        <v>30.22</v>
      </c>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t="s">
        <v>3913</v>
      </c>
      <c r="Q245" s="24">
        <f t="shared" si="43"/>
        <v>0.65</v>
      </c>
      <c r="R245" s="716">
        <f t="shared" ca="1" si="44"/>
        <v>10958</v>
      </c>
      <c r="S245" s="361">
        <f t="shared" ca="1" si="35"/>
        <v>33</v>
      </c>
    </row>
    <row r="246" spans="1:19">
      <c r="A246" s="159"/>
      <c r="B246" s="59">
        <f>抵押物清单!C303</f>
        <v>30.22</v>
      </c>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t="s">
        <v>3913</v>
      </c>
      <c r="Q246" s="24">
        <f t="shared" si="43"/>
        <v>0.65</v>
      </c>
      <c r="R246" s="716">
        <f t="shared" ca="1" si="44"/>
        <v>10958</v>
      </c>
      <c r="S246" s="361">
        <f t="shared" ca="1" si="35"/>
        <v>33</v>
      </c>
    </row>
    <row r="247" spans="1:19">
      <c r="A247" s="159"/>
      <c r="B247" s="59">
        <f>抵押物清单!C304</f>
        <v>30.22</v>
      </c>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t="s">
        <v>3913</v>
      </c>
      <c r="Q247" s="24">
        <f t="shared" si="43"/>
        <v>0.65</v>
      </c>
      <c r="R247" s="716">
        <f t="shared" ca="1" si="44"/>
        <v>10958</v>
      </c>
      <c r="S247" s="361">
        <f t="shared" ca="1" si="35"/>
        <v>33</v>
      </c>
    </row>
    <row r="248" spans="1:19">
      <c r="A248" s="159"/>
      <c r="B248" s="59">
        <f>抵押物清单!C305</f>
        <v>30.22</v>
      </c>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t="s">
        <v>3913</v>
      </c>
      <c r="Q248" s="24">
        <f t="shared" si="43"/>
        <v>0.65</v>
      </c>
      <c r="R248" s="716">
        <f t="shared" ca="1" si="44"/>
        <v>10958</v>
      </c>
      <c r="S248" s="361">
        <f t="shared" ca="1" si="35"/>
        <v>33</v>
      </c>
    </row>
    <row r="249" spans="1:19">
      <c r="A249" s="159"/>
      <c r="B249" s="59">
        <f>抵押物清单!C306</f>
        <v>30.22</v>
      </c>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t="s">
        <v>3913</v>
      </c>
      <c r="Q249" s="24">
        <f t="shared" si="43"/>
        <v>0.65</v>
      </c>
      <c r="R249" s="716">
        <f t="shared" ca="1" si="44"/>
        <v>10958</v>
      </c>
      <c r="S249" s="361">
        <f t="shared" ca="1" si="35"/>
        <v>33</v>
      </c>
    </row>
    <row r="250" spans="1:19">
      <c r="A250" s="159"/>
      <c r="B250" s="59">
        <f>抵押物清单!C307</f>
        <v>30.22</v>
      </c>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t="s">
        <v>3913</v>
      </c>
      <c r="Q250" s="24">
        <f t="shared" si="43"/>
        <v>0.65</v>
      </c>
      <c r="R250" s="716">
        <f t="shared" ca="1" si="44"/>
        <v>10958</v>
      </c>
      <c r="S250" s="361">
        <f t="shared" ca="1" si="35"/>
        <v>33</v>
      </c>
    </row>
    <row r="251" spans="1:19">
      <c r="A251" s="159"/>
      <c r="B251" s="59">
        <f>抵押物清单!C308</f>
        <v>30.22</v>
      </c>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t="s">
        <v>3913</v>
      </c>
      <c r="Q251" s="24">
        <f t="shared" si="43"/>
        <v>0.65</v>
      </c>
      <c r="R251" s="716">
        <f t="shared" ca="1" si="44"/>
        <v>10958</v>
      </c>
      <c r="S251" s="361">
        <f t="shared" ca="1" si="35"/>
        <v>33</v>
      </c>
    </row>
    <row r="252" spans="1:19">
      <c r="A252" s="159"/>
      <c r="B252" s="59">
        <f>抵押物清单!C309</f>
        <v>30.22</v>
      </c>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t="s">
        <v>3913</v>
      </c>
      <c r="Q252" s="24">
        <f t="shared" si="43"/>
        <v>0.65</v>
      </c>
      <c r="R252" s="716">
        <f t="shared" ca="1" si="44"/>
        <v>10958</v>
      </c>
      <c r="S252" s="361">
        <f t="shared" ca="1" si="35"/>
        <v>33</v>
      </c>
    </row>
    <row r="253" spans="1:19">
      <c r="A253" s="159"/>
      <c r="B253" s="59">
        <f>抵押物清单!C310</f>
        <v>30.22</v>
      </c>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t="s">
        <v>3913</v>
      </c>
      <c r="Q253" s="24">
        <f t="shared" si="43"/>
        <v>0.65</v>
      </c>
      <c r="R253" s="716">
        <f t="shared" ca="1" si="44"/>
        <v>10958</v>
      </c>
      <c r="S253" s="361">
        <f t="shared" ca="1" si="35"/>
        <v>33</v>
      </c>
    </row>
    <row r="254" spans="1:19">
      <c r="A254" s="159"/>
      <c r="B254" s="59">
        <f>抵押物清单!C311</f>
        <v>23.29</v>
      </c>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t="s">
        <v>3913</v>
      </c>
      <c r="Q254" s="24">
        <f t="shared" si="43"/>
        <v>0.65</v>
      </c>
      <c r="R254" s="716">
        <f t="shared" ca="1" si="44"/>
        <v>10958</v>
      </c>
      <c r="S254" s="361">
        <f t="shared" ca="1" si="35"/>
        <v>26</v>
      </c>
    </row>
    <row r="255" spans="1:19">
      <c r="A255" s="159"/>
      <c r="B255" s="59">
        <f>抵押物清单!C312</f>
        <v>31.85</v>
      </c>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t="s">
        <v>3913</v>
      </c>
      <c r="Q255" s="24">
        <f t="shared" si="43"/>
        <v>0.65</v>
      </c>
      <c r="R255" s="716">
        <f t="shared" ca="1" si="44"/>
        <v>10958</v>
      </c>
      <c r="S255" s="361">
        <f t="shared" ca="1" si="35"/>
        <v>35</v>
      </c>
    </row>
    <row r="256" spans="1:19">
      <c r="A256" s="159"/>
      <c r="B256" s="59">
        <f>抵押物清单!C313</f>
        <v>34.51</v>
      </c>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t="s">
        <v>3913</v>
      </c>
      <c r="Q256" s="24">
        <f t="shared" si="43"/>
        <v>0.65</v>
      </c>
      <c r="R256" s="716">
        <f t="shared" ca="1" si="44"/>
        <v>10958</v>
      </c>
      <c r="S256" s="361">
        <f t="shared" ca="1" si="35"/>
        <v>38</v>
      </c>
    </row>
    <row r="257" spans="1:19">
      <c r="A257" s="159"/>
      <c r="B257" s="59">
        <f>抵押物清单!C314</f>
        <v>31.14</v>
      </c>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t="s">
        <v>3913</v>
      </c>
      <c r="Q257" s="24">
        <f t="shared" si="43"/>
        <v>0.65</v>
      </c>
      <c r="R257" s="716">
        <f t="shared" ca="1" si="44"/>
        <v>10958</v>
      </c>
      <c r="S257" s="361">
        <f t="shared" ca="1" si="35"/>
        <v>34</v>
      </c>
    </row>
    <row r="258" spans="1:19">
      <c r="A258" s="159"/>
      <c r="B258" s="59">
        <f>抵押物清单!C315</f>
        <v>31.14</v>
      </c>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t="s">
        <v>3913</v>
      </c>
      <c r="Q258" s="24">
        <f t="shared" si="43"/>
        <v>0.65</v>
      </c>
      <c r="R258" s="716">
        <f t="shared" ca="1" si="44"/>
        <v>10958</v>
      </c>
      <c r="S258" s="361">
        <f t="shared" ca="1" si="35"/>
        <v>34</v>
      </c>
    </row>
    <row r="259" spans="1:19">
      <c r="A259" s="159"/>
      <c r="B259" s="59">
        <f>抵押物清单!C316</f>
        <v>31.14</v>
      </c>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t="s">
        <v>3913</v>
      </c>
      <c r="Q259" s="24">
        <f t="shared" si="43"/>
        <v>0.65</v>
      </c>
      <c r="R259" s="716">
        <f t="shared" ca="1" si="44"/>
        <v>10958</v>
      </c>
      <c r="S259" s="361">
        <f t="shared" ca="1" si="35"/>
        <v>34</v>
      </c>
    </row>
    <row r="260" spans="1:19">
      <c r="A260" s="159"/>
      <c r="B260" s="59">
        <f>抵押物清单!C317</f>
        <v>31.14</v>
      </c>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t="s">
        <v>3913</v>
      </c>
      <c r="Q260" s="24">
        <f t="shared" si="43"/>
        <v>0.65</v>
      </c>
      <c r="R260" s="716">
        <f t="shared" ca="1" si="44"/>
        <v>10958</v>
      </c>
      <c r="S260" s="361">
        <f t="shared" ca="1" si="35"/>
        <v>34</v>
      </c>
    </row>
    <row r="261" spans="1:19">
      <c r="A261" s="159"/>
      <c r="B261" s="59">
        <f>抵押物清单!C318</f>
        <v>31.14</v>
      </c>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t="s">
        <v>3913</v>
      </c>
      <c r="Q261" s="24">
        <f t="shared" si="43"/>
        <v>0.65</v>
      </c>
      <c r="R261" s="716">
        <f t="shared" ca="1" si="44"/>
        <v>10958</v>
      </c>
      <c r="S261" s="361">
        <f t="shared" ca="1" si="35"/>
        <v>34</v>
      </c>
    </row>
    <row r="262" spans="1:19">
      <c r="A262" s="159"/>
      <c r="B262" s="59">
        <f>抵押物清单!C319</f>
        <v>31.14</v>
      </c>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t="s">
        <v>3913</v>
      </c>
      <c r="Q262" s="24">
        <f t="shared" si="43"/>
        <v>0.65</v>
      </c>
      <c r="R262" s="716">
        <f t="shared" ca="1" si="44"/>
        <v>10958</v>
      </c>
      <c r="S262" s="361">
        <f t="shared" ca="1" si="35"/>
        <v>34</v>
      </c>
    </row>
    <row r="263" spans="1:19">
      <c r="A263" s="159"/>
      <c r="B263" s="59">
        <f>抵押物清单!C320</f>
        <v>31.14</v>
      </c>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t="s">
        <v>3913</v>
      </c>
      <c r="Q263" s="24">
        <f t="shared" si="43"/>
        <v>0.65</v>
      </c>
      <c r="R263" s="716">
        <f t="shared" ca="1" si="44"/>
        <v>10958</v>
      </c>
      <c r="S263" s="361">
        <f t="shared" ca="1" si="35"/>
        <v>34</v>
      </c>
    </row>
    <row r="264" spans="1:19">
      <c r="A264" s="159"/>
      <c r="B264" s="59">
        <f>抵押物清单!C321</f>
        <v>31.14</v>
      </c>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t="s">
        <v>3913</v>
      </c>
      <c r="Q264" s="24">
        <f t="shared" si="43"/>
        <v>0.65</v>
      </c>
      <c r="R264" s="716">
        <f t="shared" ca="1" si="44"/>
        <v>10958</v>
      </c>
      <c r="S264" s="361">
        <f t="shared" ca="1" si="35"/>
        <v>34</v>
      </c>
    </row>
    <row r="265" spans="1:19">
      <c r="A265" s="159"/>
      <c r="B265" s="59">
        <f>抵押物清单!C322</f>
        <v>31.14</v>
      </c>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t="s">
        <v>3913</v>
      </c>
      <c r="Q265" s="24">
        <f t="shared" si="43"/>
        <v>0.65</v>
      </c>
      <c r="R265" s="716">
        <f t="shared" ca="1" si="44"/>
        <v>10958</v>
      </c>
      <c r="S265" s="361">
        <f t="shared" ca="1" si="35"/>
        <v>34</v>
      </c>
    </row>
    <row r="266" spans="1:19">
      <c r="A266" s="159"/>
      <c r="B266" s="59">
        <f>抵押物清单!C323</f>
        <v>31.14</v>
      </c>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t="s">
        <v>3913</v>
      </c>
      <c r="Q266" s="24">
        <f t="shared" si="43"/>
        <v>0.65</v>
      </c>
      <c r="R266" s="716">
        <f t="shared" ca="1" si="44"/>
        <v>10958</v>
      </c>
      <c r="S266" s="361">
        <f t="shared" ca="1" si="35"/>
        <v>34</v>
      </c>
    </row>
    <row r="267" spans="1:19">
      <c r="A267" s="159"/>
      <c r="B267" s="59">
        <f>抵押物清单!C324</f>
        <v>31.14</v>
      </c>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t="s">
        <v>3913</v>
      </c>
      <c r="Q267" s="24">
        <f t="shared" si="43"/>
        <v>0.65</v>
      </c>
      <c r="R267" s="716">
        <f t="shared" ca="1" si="44"/>
        <v>10958</v>
      </c>
      <c r="S267" s="361">
        <f t="shared" ca="1" si="35"/>
        <v>34</v>
      </c>
    </row>
    <row r="268" spans="1:19">
      <c r="A268" s="159"/>
      <c r="B268" s="59">
        <f>抵押物清单!C325</f>
        <v>23.34</v>
      </c>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t="s">
        <v>3913</v>
      </c>
      <c r="Q268" s="24">
        <f t="shared" si="43"/>
        <v>0.65</v>
      </c>
      <c r="R268" s="716">
        <f t="shared" ca="1" si="44"/>
        <v>10958</v>
      </c>
      <c r="S268" s="361">
        <f t="shared" ca="1" si="35"/>
        <v>26</v>
      </c>
    </row>
    <row r="269" spans="1:19">
      <c r="A269" s="159"/>
      <c r="B269" s="59">
        <f>抵押物清单!C326</f>
        <v>23.34</v>
      </c>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t="s">
        <v>3913</v>
      </c>
      <c r="Q269" s="24">
        <f t="shared" si="43"/>
        <v>0.65</v>
      </c>
      <c r="R269" s="716">
        <f t="shared" ca="1" si="44"/>
        <v>10958</v>
      </c>
      <c r="S269" s="361">
        <f t="shared" ca="1" si="35"/>
        <v>26</v>
      </c>
    </row>
    <row r="270" spans="1:19">
      <c r="A270" s="159"/>
      <c r="B270" s="59">
        <f>抵押物清单!C327</f>
        <v>31.14</v>
      </c>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t="s">
        <v>3913</v>
      </c>
      <c r="Q270" s="24">
        <f t="shared" si="43"/>
        <v>0.65</v>
      </c>
      <c r="R270" s="716">
        <f t="shared" ca="1" si="44"/>
        <v>10958</v>
      </c>
      <c r="S270" s="361">
        <f t="shared" ca="1" si="35"/>
        <v>34</v>
      </c>
    </row>
    <row r="271" spans="1:19">
      <c r="A271" s="159"/>
      <c r="B271" s="59">
        <f>抵押物清单!C328</f>
        <v>31.14</v>
      </c>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t="s">
        <v>3913</v>
      </c>
      <c r="Q271" s="24">
        <f t="shared" si="43"/>
        <v>0.65</v>
      </c>
      <c r="R271" s="716">
        <f t="shared" ca="1" si="44"/>
        <v>10958</v>
      </c>
      <c r="S271" s="361">
        <f t="shared" ca="1" si="35"/>
        <v>34</v>
      </c>
    </row>
    <row r="272" spans="1:19">
      <c r="A272" s="159"/>
      <c r="B272" s="59">
        <f>抵押物清单!C329</f>
        <v>31.14</v>
      </c>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t="s">
        <v>3913</v>
      </c>
      <c r="Q272" s="24">
        <f t="shared" si="43"/>
        <v>0.65</v>
      </c>
      <c r="R272" s="716">
        <f t="shared" ca="1" si="44"/>
        <v>10958</v>
      </c>
      <c r="S272" s="361">
        <f t="shared" ca="1" si="35"/>
        <v>34</v>
      </c>
    </row>
    <row r="273" spans="1:19">
      <c r="A273" s="159"/>
      <c r="B273" s="59">
        <f>抵押物清单!C330</f>
        <v>31.14</v>
      </c>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t="s">
        <v>3913</v>
      </c>
      <c r="Q273" s="24">
        <f t="shared" si="43"/>
        <v>0.65</v>
      </c>
      <c r="R273" s="716">
        <f t="shared" ca="1" si="44"/>
        <v>10958</v>
      </c>
      <c r="S273" s="361">
        <f t="shared" ca="1" si="35"/>
        <v>34</v>
      </c>
    </row>
    <row r="274" spans="1:19">
      <c r="A274" s="159"/>
      <c r="B274" s="59">
        <f>抵押物清单!C331</f>
        <v>31.14</v>
      </c>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t="s">
        <v>3913</v>
      </c>
      <c r="Q274" s="24">
        <f t="shared" si="43"/>
        <v>0.65</v>
      </c>
      <c r="R274" s="716">
        <f t="shared" ca="1" si="44"/>
        <v>10958</v>
      </c>
      <c r="S274" s="361">
        <f t="shared" ca="1" si="35"/>
        <v>34</v>
      </c>
    </row>
    <row r="275" spans="1:19">
      <c r="A275" s="159"/>
      <c r="B275" s="59">
        <f>抵押物清单!C332</f>
        <v>31.14</v>
      </c>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t="s">
        <v>3913</v>
      </c>
      <c r="Q275" s="24">
        <f t="shared" si="43"/>
        <v>0.65</v>
      </c>
      <c r="R275" s="716">
        <f t="shared" ca="1" si="44"/>
        <v>10958</v>
      </c>
      <c r="S275" s="361">
        <f t="shared" ca="1" si="35"/>
        <v>34</v>
      </c>
    </row>
    <row r="276" spans="1:19">
      <c r="A276" s="159"/>
      <c r="B276" s="59">
        <f>抵押物清单!C333</f>
        <v>31.14</v>
      </c>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t="s">
        <v>3913</v>
      </c>
      <c r="Q276" s="24">
        <f t="shared" si="43"/>
        <v>0.65</v>
      </c>
      <c r="R276" s="716">
        <f t="shared" ca="1" si="44"/>
        <v>10958</v>
      </c>
      <c r="S276" s="361">
        <f t="shared" ca="1" si="35"/>
        <v>34</v>
      </c>
    </row>
    <row r="277" spans="1:19">
      <c r="A277" s="159"/>
      <c r="B277" s="59">
        <f>抵押物清单!C334</f>
        <v>31.14</v>
      </c>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t="s">
        <v>3913</v>
      </c>
      <c r="Q277" s="24">
        <f t="shared" si="43"/>
        <v>0.65</v>
      </c>
      <c r="R277" s="716">
        <f t="shared" ca="1" si="44"/>
        <v>10958</v>
      </c>
      <c r="S277" s="361">
        <f t="shared" ca="1" si="35"/>
        <v>34</v>
      </c>
    </row>
    <row r="278" spans="1:19">
      <c r="A278" s="159"/>
      <c r="B278" s="59">
        <f>抵押物清单!C335</f>
        <v>31.14</v>
      </c>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t="s">
        <v>3913</v>
      </c>
      <c r="Q278" s="24">
        <f t="shared" si="43"/>
        <v>0.65</v>
      </c>
      <c r="R278" s="716">
        <f t="shared" ca="1" si="44"/>
        <v>10958</v>
      </c>
      <c r="S278" s="361">
        <f t="shared" ca="1" si="35"/>
        <v>34</v>
      </c>
    </row>
    <row r="279" spans="1:19">
      <c r="A279" s="159"/>
      <c r="B279" s="59">
        <f>抵押物清单!C336</f>
        <v>31.14</v>
      </c>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t="s">
        <v>3913</v>
      </c>
      <c r="Q279" s="24">
        <f t="shared" si="43"/>
        <v>0.65</v>
      </c>
      <c r="R279" s="716">
        <f t="shared" ca="1" si="44"/>
        <v>10958</v>
      </c>
      <c r="S279" s="361">
        <f t="shared" ca="1" si="35"/>
        <v>34</v>
      </c>
    </row>
    <row r="280" spans="1:19">
      <c r="A280" s="159"/>
      <c r="B280" s="59">
        <f>抵押物清单!C337</f>
        <v>31.14</v>
      </c>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t="s">
        <v>3913</v>
      </c>
      <c r="Q280" s="24">
        <f t="shared" si="43"/>
        <v>0.65</v>
      </c>
      <c r="R280" s="716">
        <f t="shared" ca="1" si="44"/>
        <v>10958</v>
      </c>
      <c r="S280" s="361">
        <f t="shared" ref="S280:S343" ca="1" si="45">ROUND(R280*B280/10000,0)</f>
        <v>34</v>
      </c>
    </row>
    <row r="281" spans="1:19">
      <c r="A281" s="159"/>
      <c r="B281" s="59">
        <f>抵押物清单!C338</f>
        <v>34.51</v>
      </c>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t="s">
        <v>3913</v>
      </c>
      <c r="Q281" s="24">
        <f t="shared" si="43"/>
        <v>0.65</v>
      </c>
      <c r="R281" s="716">
        <f t="shared" ca="1" si="44"/>
        <v>10958</v>
      </c>
      <c r="S281" s="361">
        <f t="shared" ca="1" si="45"/>
        <v>38</v>
      </c>
    </row>
    <row r="282" spans="1:19">
      <c r="A282" s="159"/>
      <c r="B282" s="59">
        <f>抵押物清单!C339</f>
        <v>33.770000000000003</v>
      </c>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t="s">
        <v>3913</v>
      </c>
      <c r="Q282" s="24">
        <f t="shared" ref="Q282:Q345" si="53">(SUMIF($17:$17,P282,$18:$18)-SUMIF($17:$17,$P$24,$18:$18)+100)/100</f>
        <v>0.65</v>
      </c>
      <c r="R282" s="716">
        <f t="shared" ref="R282:R345" ca="1" si="54">IF(B282="",0,ROUND($R$24*C282*E282*G282*I282*K282*M282*O282*Q282,0))</f>
        <v>10958</v>
      </c>
      <c r="S282" s="361">
        <f t="shared" ca="1" si="45"/>
        <v>37</v>
      </c>
    </row>
    <row r="283" spans="1:19">
      <c r="A283" s="159"/>
      <c r="B283" s="59">
        <f>抵押物清单!C340</f>
        <v>24.69</v>
      </c>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t="s">
        <v>3913</v>
      </c>
      <c r="Q283" s="24">
        <f t="shared" si="53"/>
        <v>0.65</v>
      </c>
      <c r="R283" s="716">
        <f t="shared" ca="1" si="54"/>
        <v>10958</v>
      </c>
      <c r="S283" s="361">
        <f t="shared" ca="1" si="45"/>
        <v>27</v>
      </c>
    </row>
    <row r="284" spans="1:19">
      <c r="A284" s="159"/>
      <c r="B284" s="59">
        <f>抵押物清单!C341</f>
        <v>32.04</v>
      </c>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t="s">
        <v>3913</v>
      </c>
      <c r="Q284" s="24">
        <f t="shared" si="53"/>
        <v>0.65</v>
      </c>
      <c r="R284" s="716">
        <f t="shared" ca="1" si="54"/>
        <v>10958</v>
      </c>
      <c r="S284" s="361">
        <f t="shared" ca="1" si="45"/>
        <v>35</v>
      </c>
    </row>
    <row r="285" spans="1:19">
      <c r="A285" s="159"/>
      <c r="B285" s="59">
        <f>抵押物清单!C342</f>
        <v>32.04</v>
      </c>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t="s">
        <v>3913</v>
      </c>
      <c r="Q285" s="24">
        <f t="shared" si="53"/>
        <v>0.65</v>
      </c>
      <c r="R285" s="716">
        <f t="shared" ca="1" si="54"/>
        <v>10958</v>
      </c>
      <c r="S285" s="361">
        <f t="shared" ca="1" si="45"/>
        <v>35</v>
      </c>
    </row>
    <row r="286" spans="1:19">
      <c r="A286" s="159"/>
      <c r="B286" s="59">
        <f>抵押物清单!C343</f>
        <v>32.04</v>
      </c>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t="s">
        <v>3913</v>
      </c>
      <c r="Q286" s="24">
        <f t="shared" si="53"/>
        <v>0.65</v>
      </c>
      <c r="R286" s="716">
        <f t="shared" ca="1" si="54"/>
        <v>10958</v>
      </c>
      <c r="S286" s="361">
        <f t="shared" ca="1" si="45"/>
        <v>35</v>
      </c>
    </row>
    <row r="287" spans="1:19">
      <c r="A287" s="159"/>
      <c r="B287" s="59">
        <f>抵押物清单!C344</f>
        <v>32.04</v>
      </c>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t="s">
        <v>3913</v>
      </c>
      <c r="Q287" s="24">
        <f t="shared" si="53"/>
        <v>0.65</v>
      </c>
      <c r="R287" s="716">
        <f t="shared" ca="1" si="54"/>
        <v>10958</v>
      </c>
      <c r="S287" s="361">
        <f t="shared" ca="1" si="45"/>
        <v>35</v>
      </c>
    </row>
    <row r="288" spans="1:19">
      <c r="A288" s="159"/>
      <c r="B288" s="59">
        <f>抵押物清单!C345</f>
        <v>32.04</v>
      </c>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t="s">
        <v>3913</v>
      </c>
      <c r="Q288" s="24">
        <f t="shared" si="53"/>
        <v>0.65</v>
      </c>
      <c r="R288" s="716">
        <f t="shared" ca="1" si="54"/>
        <v>10958</v>
      </c>
      <c r="S288" s="361">
        <f t="shared" ca="1" si="45"/>
        <v>35</v>
      </c>
    </row>
    <row r="289" spans="1:19">
      <c r="A289" s="159"/>
      <c r="B289" s="59">
        <f>抵押物清单!C346</f>
        <v>32.04</v>
      </c>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t="s">
        <v>3913</v>
      </c>
      <c r="Q289" s="24">
        <f t="shared" si="53"/>
        <v>0.65</v>
      </c>
      <c r="R289" s="716">
        <f t="shared" ca="1" si="54"/>
        <v>10958</v>
      </c>
      <c r="S289" s="361">
        <f t="shared" ca="1" si="45"/>
        <v>35</v>
      </c>
    </row>
    <row r="290" spans="1:19">
      <c r="A290" s="159"/>
      <c r="B290" s="59">
        <f>抵押物清单!C347</f>
        <v>32.04</v>
      </c>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t="s">
        <v>3913</v>
      </c>
      <c r="Q290" s="24">
        <f t="shared" si="53"/>
        <v>0.65</v>
      </c>
      <c r="R290" s="716">
        <f t="shared" ca="1" si="54"/>
        <v>10958</v>
      </c>
      <c r="S290" s="361">
        <f t="shared" ca="1" si="45"/>
        <v>35</v>
      </c>
    </row>
    <row r="291" spans="1:19">
      <c r="A291" s="159"/>
      <c r="B291" s="59">
        <f>抵押物清单!C348</f>
        <v>32.04</v>
      </c>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t="s">
        <v>3913</v>
      </c>
      <c r="Q291" s="24">
        <f t="shared" si="53"/>
        <v>0.65</v>
      </c>
      <c r="R291" s="716">
        <f t="shared" ca="1" si="54"/>
        <v>10958</v>
      </c>
      <c r="S291" s="361">
        <f t="shared" ca="1" si="45"/>
        <v>35</v>
      </c>
    </row>
    <row r="292" spans="1:19">
      <c r="A292" s="159"/>
      <c r="B292" s="59">
        <f>抵押物清单!C349</f>
        <v>32.04</v>
      </c>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t="s">
        <v>3913</v>
      </c>
      <c r="Q292" s="24">
        <f t="shared" si="53"/>
        <v>0.65</v>
      </c>
      <c r="R292" s="716">
        <f t="shared" ca="1" si="54"/>
        <v>10958</v>
      </c>
      <c r="S292" s="361">
        <f t="shared" ca="1" si="45"/>
        <v>35</v>
      </c>
    </row>
    <row r="293" spans="1:19">
      <c r="A293" s="159"/>
      <c r="B293" s="59">
        <f>抵押物清单!C350</f>
        <v>29.91</v>
      </c>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t="s">
        <v>3913</v>
      </c>
      <c r="Q293" s="24">
        <f t="shared" si="53"/>
        <v>0.65</v>
      </c>
      <c r="R293" s="716">
        <f t="shared" ca="1" si="54"/>
        <v>10958</v>
      </c>
      <c r="S293" s="361">
        <f t="shared" ca="1" si="45"/>
        <v>33</v>
      </c>
    </row>
    <row r="294" spans="1:19">
      <c r="A294" s="159"/>
      <c r="B294" s="59">
        <f>抵押物清单!C351</f>
        <v>28.56</v>
      </c>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t="s">
        <v>3913</v>
      </c>
      <c r="Q294" s="24">
        <f t="shared" si="53"/>
        <v>0.65</v>
      </c>
      <c r="R294" s="716">
        <f t="shared" ca="1" si="54"/>
        <v>10958</v>
      </c>
      <c r="S294" s="361">
        <f t="shared" ca="1" si="45"/>
        <v>31</v>
      </c>
    </row>
    <row r="295" spans="1:19">
      <c r="A295" s="159"/>
      <c r="B295" s="59">
        <f>抵押物清单!C352</f>
        <v>24.67</v>
      </c>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t="s">
        <v>3913</v>
      </c>
      <c r="Q295" s="24">
        <f t="shared" si="53"/>
        <v>0.65</v>
      </c>
      <c r="R295" s="716">
        <f t="shared" ca="1" si="54"/>
        <v>10958</v>
      </c>
      <c r="S295" s="361">
        <f t="shared" ca="1" si="45"/>
        <v>27</v>
      </c>
    </row>
    <row r="296" spans="1:19">
      <c r="A296" s="159"/>
      <c r="B296" s="59">
        <f>抵押物清单!C353</f>
        <v>23.48</v>
      </c>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t="s">
        <v>3913</v>
      </c>
      <c r="Q296" s="24">
        <f t="shared" si="53"/>
        <v>0.65</v>
      </c>
      <c r="R296" s="716">
        <f t="shared" ca="1" si="54"/>
        <v>10958</v>
      </c>
      <c r="S296" s="361">
        <f t="shared" ca="1" si="45"/>
        <v>26</v>
      </c>
    </row>
    <row r="297" spans="1:19">
      <c r="A297" s="159"/>
      <c r="B297" s="59">
        <f>抵押物清单!C354</f>
        <v>26.02</v>
      </c>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t="s">
        <v>3913</v>
      </c>
      <c r="Q297" s="24">
        <f t="shared" si="53"/>
        <v>0.65</v>
      </c>
      <c r="R297" s="716">
        <f t="shared" ca="1" si="54"/>
        <v>10958</v>
      </c>
      <c r="S297" s="361">
        <f t="shared" ca="1" si="45"/>
        <v>29</v>
      </c>
    </row>
    <row r="298" spans="1:19">
      <c r="A298" s="159"/>
      <c r="B298" s="59">
        <f>抵押物清单!C355</f>
        <v>22.67</v>
      </c>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t="s">
        <v>3913</v>
      </c>
      <c r="Q298" s="24">
        <f t="shared" si="53"/>
        <v>0.65</v>
      </c>
      <c r="R298" s="716">
        <f t="shared" ca="1" si="54"/>
        <v>10958</v>
      </c>
      <c r="S298" s="361">
        <f t="shared" ca="1" si="45"/>
        <v>25</v>
      </c>
    </row>
    <row r="299" spans="1:19">
      <c r="A299" s="159"/>
      <c r="B299" s="59">
        <f>抵押物清单!C356</f>
        <v>23.74</v>
      </c>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t="s">
        <v>3913</v>
      </c>
      <c r="Q299" s="24">
        <f t="shared" si="53"/>
        <v>0.65</v>
      </c>
      <c r="R299" s="716">
        <f t="shared" ca="1" si="54"/>
        <v>10958</v>
      </c>
      <c r="S299" s="361">
        <f t="shared" ca="1" si="45"/>
        <v>26</v>
      </c>
    </row>
    <row r="300" spans="1:19">
      <c r="A300" s="159"/>
      <c r="B300" s="59">
        <f>抵押物清单!C357</f>
        <v>25.45</v>
      </c>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t="s">
        <v>3913</v>
      </c>
      <c r="Q300" s="24">
        <f t="shared" si="53"/>
        <v>0.65</v>
      </c>
      <c r="R300" s="716">
        <f t="shared" ca="1" si="54"/>
        <v>10958</v>
      </c>
      <c r="S300" s="361">
        <f t="shared" ca="1" si="45"/>
        <v>28</v>
      </c>
    </row>
    <row r="301" spans="1:19">
      <c r="A301" s="159"/>
      <c r="B301" s="59">
        <f>抵押物清单!C358</f>
        <v>25.45</v>
      </c>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t="s">
        <v>3913</v>
      </c>
      <c r="Q301" s="24">
        <f t="shared" si="53"/>
        <v>0.65</v>
      </c>
      <c r="R301" s="716">
        <f t="shared" ca="1" si="54"/>
        <v>10958</v>
      </c>
      <c r="S301" s="361">
        <f t="shared" ca="1" si="45"/>
        <v>28</v>
      </c>
    </row>
    <row r="302" spans="1:19">
      <c r="A302" s="159"/>
      <c r="B302" s="59">
        <f>抵押物清单!C359</f>
        <v>25.45</v>
      </c>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t="s">
        <v>3913</v>
      </c>
      <c r="Q302" s="24">
        <f t="shared" si="53"/>
        <v>0.65</v>
      </c>
      <c r="R302" s="716">
        <f t="shared" ca="1" si="54"/>
        <v>10958</v>
      </c>
      <c r="S302" s="361">
        <f t="shared" ca="1" si="45"/>
        <v>28</v>
      </c>
    </row>
    <row r="303" spans="1:19">
      <c r="A303" s="159"/>
      <c r="B303" s="59">
        <f>抵押物清单!C360</f>
        <v>25.45</v>
      </c>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t="s">
        <v>3913</v>
      </c>
      <c r="Q303" s="24">
        <f t="shared" si="53"/>
        <v>0.65</v>
      </c>
      <c r="R303" s="716">
        <f t="shared" ca="1" si="54"/>
        <v>10958</v>
      </c>
      <c r="S303" s="361">
        <f t="shared" ca="1" si="45"/>
        <v>28</v>
      </c>
    </row>
    <row r="304" spans="1:19">
      <c r="A304" s="159"/>
      <c r="B304" s="59">
        <f>抵押物清单!C361</f>
        <v>25.45</v>
      </c>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t="s">
        <v>3913</v>
      </c>
      <c r="Q304" s="24">
        <f t="shared" si="53"/>
        <v>0.65</v>
      </c>
      <c r="R304" s="716">
        <f t="shared" ca="1" si="54"/>
        <v>10958</v>
      </c>
      <c r="S304" s="361">
        <f t="shared" ca="1" si="45"/>
        <v>28</v>
      </c>
    </row>
    <row r="305" spans="1:19">
      <c r="A305" s="159"/>
      <c r="B305" s="59">
        <f>抵押物清单!C362</f>
        <v>25.45</v>
      </c>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t="s">
        <v>3913</v>
      </c>
      <c r="Q305" s="24">
        <f t="shared" si="53"/>
        <v>0.65</v>
      </c>
      <c r="R305" s="716">
        <f t="shared" ca="1" si="54"/>
        <v>10958</v>
      </c>
      <c r="S305" s="361">
        <f t="shared" ca="1" si="45"/>
        <v>28</v>
      </c>
    </row>
    <row r="306" spans="1:19">
      <c r="A306" s="159"/>
      <c r="B306" s="59">
        <f>抵押物清单!C363</f>
        <v>25.45</v>
      </c>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t="s">
        <v>3913</v>
      </c>
      <c r="Q306" s="24">
        <f t="shared" si="53"/>
        <v>0.65</v>
      </c>
      <c r="R306" s="716">
        <f t="shared" ca="1" si="54"/>
        <v>10958</v>
      </c>
      <c r="S306" s="361">
        <f t="shared" ca="1" si="45"/>
        <v>28</v>
      </c>
    </row>
    <row r="307" spans="1:19">
      <c r="A307" s="159"/>
      <c r="B307" s="59">
        <f>抵押物清单!C364</f>
        <v>25.45</v>
      </c>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t="s">
        <v>3913</v>
      </c>
      <c r="Q307" s="24">
        <f t="shared" si="53"/>
        <v>0.65</v>
      </c>
      <c r="R307" s="716">
        <f t="shared" ca="1" si="54"/>
        <v>10958</v>
      </c>
      <c r="S307" s="361">
        <f t="shared" ca="1" si="45"/>
        <v>28</v>
      </c>
    </row>
    <row r="308" spans="1:19">
      <c r="A308" s="159"/>
      <c r="B308" s="59">
        <f>抵押物清单!C365</f>
        <v>25.45</v>
      </c>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t="s">
        <v>3913</v>
      </c>
      <c r="Q308" s="24">
        <f t="shared" si="53"/>
        <v>0.65</v>
      </c>
      <c r="R308" s="716">
        <f t="shared" ca="1" si="54"/>
        <v>10958</v>
      </c>
      <c r="S308" s="361">
        <f t="shared" ca="1" si="45"/>
        <v>28</v>
      </c>
    </row>
    <row r="309" spans="1:19">
      <c r="A309" s="159"/>
      <c r="B309" s="59">
        <f>抵押物清单!C366</f>
        <v>19.61</v>
      </c>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t="s">
        <v>3913</v>
      </c>
      <c r="Q309" s="24">
        <f t="shared" si="53"/>
        <v>0.65</v>
      </c>
      <c r="R309" s="716">
        <f t="shared" ca="1" si="54"/>
        <v>10958</v>
      </c>
      <c r="S309" s="361">
        <f t="shared" ca="1" si="45"/>
        <v>21</v>
      </c>
    </row>
    <row r="310" spans="1:19">
      <c r="A310" s="159"/>
      <c r="B310" s="59">
        <f>抵押物清单!C367</f>
        <v>26.82</v>
      </c>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t="s">
        <v>3913</v>
      </c>
      <c r="Q310" s="24">
        <f t="shared" si="53"/>
        <v>0.65</v>
      </c>
      <c r="R310" s="716">
        <f t="shared" ca="1" si="54"/>
        <v>10958</v>
      </c>
      <c r="S310" s="361">
        <f t="shared" ca="1" si="45"/>
        <v>29</v>
      </c>
    </row>
    <row r="311" spans="1:19">
      <c r="A311" s="159"/>
      <c r="B311" s="59">
        <f>抵押物清单!C368</f>
        <v>28.2</v>
      </c>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t="s">
        <v>3913</v>
      </c>
      <c r="Q311" s="24">
        <f t="shared" si="53"/>
        <v>0.65</v>
      </c>
      <c r="R311" s="716">
        <f t="shared" ca="1" si="54"/>
        <v>10958</v>
      </c>
      <c r="S311" s="361">
        <f t="shared" ca="1" si="45"/>
        <v>31</v>
      </c>
    </row>
    <row r="312" spans="1:19">
      <c r="A312" s="159"/>
      <c r="B312" s="59">
        <f>抵押物清单!C369</f>
        <v>25.45</v>
      </c>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t="s">
        <v>3913</v>
      </c>
      <c r="Q312" s="24">
        <f t="shared" si="53"/>
        <v>0.65</v>
      </c>
      <c r="R312" s="716">
        <f t="shared" ca="1" si="54"/>
        <v>10958</v>
      </c>
      <c r="S312" s="361">
        <f t="shared" ca="1" si="45"/>
        <v>28</v>
      </c>
    </row>
    <row r="313" spans="1:19">
      <c r="A313" s="159"/>
      <c r="B313" s="59">
        <f>抵押物清单!C370</f>
        <v>25.45</v>
      </c>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t="s">
        <v>3913</v>
      </c>
      <c r="Q313" s="24">
        <f t="shared" si="53"/>
        <v>0.65</v>
      </c>
      <c r="R313" s="716">
        <f t="shared" ca="1" si="54"/>
        <v>10958</v>
      </c>
      <c r="S313" s="361">
        <f t="shared" ca="1" si="45"/>
        <v>28</v>
      </c>
    </row>
    <row r="314" spans="1:19">
      <c r="A314" s="159"/>
      <c r="B314" s="59">
        <f>抵押物清单!C371</f>
        <v>25.45</v>
      </c>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t="s">
        <v>3913</v>
      </c>
      <c r="Q314" s="24">
        <f t="shared" si="53"/>
        <v>0.65</v>
      </c>
      <c r="R314" s="716">
        <f t="shared" ca="1" si="54"/>
        <v>10958</v>
      </c>
      <c r="S314" s="361">
        <f t="shared" ca="1" si="45"/>
        <v>28</v>
      </c>
    </row>
    <row r="315" spans="1:19">
      <c r="A315" s="159"/>
      <c r="B315" s="59">
        <f>抵押物清单!C372</f>
        <v>25.45</v>
      </c>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t="s">
        <v>3913</v>
      </c>
      <c r="Q315" s="24">
        <f t="shared" si="53"/>
        <v>0.65</v>
      </c>
      <c r="R315" s="716">
        <f t="shared" ca="1" si="54"/>
        <v>10958</v>
      </c>
      <c r="S315" s="361">
        <f t="shared" ca="1" si="45"/>
        <v>28</v>
      </c>
    </row>
    <row r="316" spans="1:19">
      <c r="A316" s="159"/>
      <c r="B316" s="59">
        <f>抵押物清单!C373</f>
        <v>25.45</v>
      </c>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t="s">
        <v>3913</v>
      </c>
      <c r="Q316" s="24">
        <f t="shared" si="53"/>
        <v>0.65</v>
      </c>
      <c r="R316" s="716">
        <f t="shared" ca="1" si="54"/>
        <v>10958</v>
      </c>
      <c r="S316" s="361">
        <f t="shared" ca="1" si="45"/>
        <v>28</v>
      </c>
    </row>
    <row r="317" spans="1:19">
      <c r="A317" s="159"/>
      <c r="B317" s="59">
        <f>抵押物清单!C374</f>
        <v>25.45</v>
      </c>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t="s">
        <v>3913</v>
      </c>
      <c r="Q317" s="24">
        <f t="shared" si="53"/>
        <v>0.65</v>
      </c>
      <c r="R317" s="716">
        <f t="shared" ca="1" si="54"/>
        <v>10958</v>
      </c>
      <c r="S317" s="361">
        <f t="shared" ca="1" si="45"/>
        <v>28</v>
      </c>
    </row>
    <row r="318" spans="1:19">
      <c r="A318" s="159"/>
      <c r="B318" s="59">
        <f>抵押物清单!C375</f>
        <v>25.45</v>
      </c>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t="s">
        <v>3913</v>
      </c>
      <c r="Q318" s="24">
        <f t="shared" si="53"/>
        <v>0.65</v>
      </c>
      <c r="R318" s="716">
        <f t="shared" ca="1" si="54"/>
        <v>10958</v>
      </c>
      <c r="S318" s="361">
        <f t="shared" ca="1" si="45"/>
        <v>28</v>
      </c>
    </row>
    <row r="319" spans="1:19">
      <c r="A319" s="159"/>
      <c r="B319" s="59">
        <f>抵押物清单!C376</f>
        <v>25.45</v>
      </c>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t="s">
        <v>3913</v>
      </c>
      <c r="Q319" s="24">
        <f t="shared" si="53"/>
        <v>0.65</v>
      </c>
      <c r="R319" s="716">
        <f t="shared" ca="1" si="54"/>
        <v>10958</v>
      </c>
      <c r="S319" s="361">
        <f t="shared" ca="1" si="45"/>
        <v>28</v>
      </c>
    </row>
    <row r="320" spans="1:19">
      <c r="A320" s="159"/>
      <c r="B320" s="59">
        <f>抵押物清单!C377</f>
        <v>25.45</v>
      </c>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t="s">
        <v>3913</v>
      </c>
      <c r="Q320" s="24">
        <f t="shared" si="53"/>
        <v>0.65</v>
      </c>
      <c r="R320" s="716">
        <f t="shared" ca="1" si="54"/>
        <v>10958</v>
      </c>
      <c r="S320" s="361">
        <f t="shared" ca="1" si="45"/>
        <v>28</v>
      </c>
    </row>
    <row r="321" spans="1:19">
      <c r="A321" s="159"/>
      <c r="B321" s="59">
        <f>抵押物清单!C378</f>
        <v>25.45</v>
      </c>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t="s">
        <v>3913</v>
      </c>
      <c r="Q321" s="24">
        <f t="shared" si="53"/>
        <v>0.65</v>
      </c>
      <c r="R321" s="716">
        <f t="shared" ca="1" si="54"/>
        <v>10958</v>
      </c>
      <c r="S321" s="361">
        <f t="shared" ca="1" si="45"/>
        <v>28</v>
      </c>
    </row>
    <row r="322" spans="1:19">
      <c r="A322" s="159"/>
      <c r="B322" s="59">
        <f>抵押物清单!C379</f>
        <v>25.45</v>
      </c>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t="s">
        <v>3913</v>
      </c>
      <c r="Q322" s="24">
        <f t="shared" si="53"/>
        <v>0.65</v>
      </c>
      <c r="R322" s="716">
        <f t="shared" ca="1" si="54"/>
        <v>10958</v>
      </c>
      <c r="S322" s="361">
        <f t="shared" ca="1" si="45"/>
        <v>28</v>
      </c>
    </row>
    <row r="323" spans="1:19">
      <c r="A323" s="159"/>
      <c r="B323" s="59">
        <f>抵押物清单!C380</f>
        <v>19.07</v>
      </c>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t="s">
        <v>3913</v>
      </c>
      <c r="Q323" s="24">
        <f t="shared" si="53"/>
        <v>0.65</v>
      </c>
      <c r="R323" s="716">
        <f t="shared" ca="1" si="54"/>
        <v>10958</v>
      </c>
      <c r="S323" s="361">
        <f t="shared" ca="1" si="45"/>
        <v>21</v>
      </c>
    </row>
    <row r="324" spans="1:19">
      <c r="A324" s="159"/>
      <c r="B324" s="59">
        <f>抵押物清单!C381</f>
        <v>19.07</v>
      </c>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t="s">
        <v>3913</v>
      </c>
      <c r="Q324" s="24">
        <f t="shared" si="53"/>
        <v>0.65</v>
      </c>
      <c r="R324" s="716">
        <f t="shared" ca="1" si="54"/>
        <v>10958</v>
      </c>
      <c r="S324" s="361">
        <f t="shared" ca="1" si="45"/>
        <v>21</v>
      </c>
    </row>
    <row r="325" spans="1:19">
      <c r="A325" s="159"/>
      <c r="B325" s="59">
        <f>抵押物清单!C382</f>
        <v>25.45</v>
      </c>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t="s">
        <v>3913</v>
      </c>
      <c r="Q325" s="24">
        <f t="shared" si="53"/>
        <v>0.65</v>
      </c>
      <c r="R325" s="716">
        <f t="shared" ca="1" si="54"/>
        <v>10958</v>
      </c>
      <c r="S325" s="361">
        <f t="shared" ca="1" si="45"/>
        <v>28</v>
      </c>
    </row>
    <row r="326" spans="1:19">
      <c r="A326" s="159"/>
      <c r="B326" s="59">
        <f>抵押物清单!C383</f>
        <v>25.45</v>
      </c>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t="s">
        <v>3913</v>
      </c>
      <c r="Q326" s="24">
        <f t="shared" si="53"/>
        <v>0.65</v>
      </c>
      <c r="R326" s="716">
        <f t="shared" ca="1" si="54"/>
        <v>10958</v>
      </c>
      <c r="S326" s="361">
        <f t="shared" ca="1" si="45"/>
        <v>28</v>
      </c>
    </row>
    <row r="327" spans="1:19">
      <c r="A327" s="159"/>
      <c r="B327" s="59">
        <f>抵押物清单!C384</f>
        <v>25.45</v>
      </c>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t="s">
        <v>3913</v>
      </c>
      <c r="Q327" s="24">
        <f t="shared" si="53"/>
        <v>0.65</v>
      </c>
      <c r="R327" s="716">
        <f t="shared" ca="1" si="54"/>
        <v>10958</v>
      </c>
      <c r="S327" s="361">
        <f t="shared" ca="1" si="45"/>
        <v>28</v>
      </c>
    </row>
    <row r="328" spans="1:19">
      <c r="A328" s="159"/>
      <c r="B328" s="59">
        <f>抵押物清单!C385</f>
        <v>25.45</v>
      </c>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t="s">
        <v>3913</v>
      </c>
      <c r="Q328" s="24">
        <f t="shared" si="53"/>
        <v>0.65</v>
      </c>
      <c r="R328" s="716">
        <f t="shared" ca="1" si="54"/>
        <v>10958</v>
      </c>
      <c r="S328" s="361">
        <f t="shared" ca="1" si="45"/>
        <v>28</v>
      </c>
    </row>
    <row r="329" spans="1:19">
      <c r="A329" s="159"/>
      <c r="B329" s="59">
        <f>抵押物清单!C386</f>
        <v>25.45</v>
      </c>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t="s">
        <v>3913</v>
      </c>
      <c r="Q329" s="24">
        <f t="shared" si="53"/>
        <v>0.65</v>
      </c>
      <c r="R329" s="716">
        <f t="shared" ca="1" si="54"/>
        <v>10958</v>
      </c>
      <c r="S329" s="361">
        <f t="shared" ca="1" si="45"/>
        <v>28</v>
      </c>
    </row>
    <row r="330" spans="1:19">
      <c r="A330" s="159"/>
      <c r="B330" s="59">
        <f>抵押物清单!C387</f>
        <v>25.45</v>
      </c>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t="s">
        <v>3913</v>
      </c>
      <c r="Q330" s="24">
        <f t="shared" si="53"/>
        <v>0.65</v>
      </c>
      <c r="R330" s="716">
        <f t="shared" ca="1" si="54"/>
        <v>10958</v>
      </c>
      <c r="S330" s="361">
        <f t="shared" ca="1" si="45"/>
        <v>28</v>
      </c>
    </row>
    <row r="331" spans="1:19">
      <c r="A331" s="159"/>
      <c r="B331" s="59">
        <f>抵押物清单!C388</f>
        <v>25.45</v>
      </c>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t="s">
        <v>3913</v>
      </c>
      <c r="Q331" s="24">
        <f t="shared" si="53"/>
        <v>0.65</v>
      </c>
      <c r="R331" s="716">
        <f t="shared" ca="1" si="54"/>
        <v>10958</v>
      </c>
      <c r="S331" s="361">
        <f t="shared" ca="1" si="45"/>
        <v>28</v>
      </c>
    </row>
    <row r="332" spans="1:19">
      <c r="A332" s="159"/>
      <c r="B332" s="59">
        <f>抵押物清单!C389</f>
        <v>25.45</v>
      </c>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t="s">
        <v>3913</v>
      </c>
      <c r="Q332" s="24">
        <f t="shared" si="53"/>
        <v>0.65</v>
      </c>
      <c r="R332" s="716">
        <f t="shared" ca="1" si="54"/>
        <v>10958</v>
      </c>
      <c r="S332" s="361">
        <f t="shared" ca="1" si="45"/>
        <v>28</v>
      </c>
    </row>
    <row r="333" spans="1:19">
      <c r="A333" s="159"/>
      <c r="B333" s="59">
        <f>抵押物清单!C390</f>
        <v>25.45</v>
      </c>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t="s">
        <v>3913</v>
      </c>
      <c r="Q333" s="24">
        <f t="shared" si="53"/>
        <v>0.65</v>
      </c>
      <c r="R333" s="716">
        <f t="shared" ca="1" si="54"/>
        <v>10958</v>
      </c>
      <c r="S333" s="361">
        <f t="shared" ca="1" si="45"/>
        <v>28</v>
      </c>
    </row>
    <row r="334" spans="1:19">
      <c r="A334" s="159"/>
      <c r="B334" s="59">
        <f>抵押物清单!C391</f>
        <v>25.45</v>
      </c>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t="s">
        <v>3913</v>
      </c>
      <c r="Q334" s="24">
        <f t="shared" si="53"/>
        <v>0.65</v>
      </c>
      <c r="R334" s="716">
        <f t="shared" ca="1" si="54"/>
        <v>10958</v>
      </c>
      <c r="S334" s="361">
        <f t="shared" ca="1" si="45"/>
        <v>28</v>
      </c>
    </row>
    <row r="335" spans="1:19">
      <c r="A335" s="159"/>
      <c r="B335" s="59">
        <f>抵押物清单!C392</f>
        <v>25.45</v>
      </c>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t="s">
        <v>3913</v>
      </c>
      <c r="Q335" s="24">
        <f t="shared" si="53"/>
        <v>0.65</v>
      </c>
      <c r="R335" s="716">
        <f t="shared" ca="1" si="54"/>
        <v>10958</v>
      </c>
      <c r="S335" s="361">
        <f t="shared" ca="1" si="45"/>
        <v>28</v>
      </c>
    </row>
    <row r="336" spans="1:19">
      <c r="A336" s="159"/>
      <c r="B336" s="59">
        <f>抵押物清单!C393</f>
        <v>28.2</v>
      </c>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t="s">
        <v>3913</v>
      </c>
      <c r="Q336" s="24">
        <f t="shared" si="53"/>
        <v>0.65</v>
      </c>
      <c r="R336" s="716">
        <f t="shared" ca="1" si="54"/>
        <v>10958</v>
      </c>
      <c r="S336" s="361">
        <f t="shared" ca="1" si="45"/>
        <v>31</v>
      </c>
    </row>
    <row r="337" spans="1:19">
      <c r="A337" s="159"/>
      <c r="B337" s="59">
        <f>抵押物清单!C394</f>
        <v>26.82</v>
      </c>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t="s">
        <v>3913</v>
      </c>
      <c r="Q337" s="24">
        <f t="shared" si="53"/>
        <v>0.65</v>
      </c>
      <c r="R337" s="716">
        <f t="shared" ca="1" si="54"/>
        <v>10958</v>
      </c>
      <c r="S337" s="361">
        <f t="shared" ca="1" si="45"/>
        <v>29</v>
      </c>
    </row>
    <row r="338" spans="1:19">
      <c r="A338" s="159"/>
      <c r="B338" s="59">
        <f>抵押物清单!C395</f>
        <v>19.61</v>
      </c>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t="s">
        <v>3913</v>
      </c>
      <c r="Q338" s="24">
        <f t="shared" si="53"/>
        <v>0.65</v>
      </c>
      <c r="R338" s="716">
        <f t="shared" ca="1" si="54"/>
        <v>10958</v>
      </c>
      <c r="S338" s="361">
        <f t="shared" ca="1" si="45"/>
        <v>21</v>
      </c>
    </row>
    <row r="339" spans="1:19">
      <c r="A339" s="159"/>
      <c r="B339" s="59">
        <f>抵押物清单!C396</f>
        <v>25.45</v>
      </c>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t="s">
        <v>3913</v>
      </c>
      <c r="Q339" s="24">
        <f t="shared" si="53"/>
        <v>0.65</v>
      </c>
      <c r="R339" s="716">
        <f t="shared" ca="1" si="54"/>
        <v>10958</v>
      </c>
      <c r="S339" s="361">
        <f t="shared" ca="1" si="45"/>
        <v>28</v>
      </c>
    </row>
    <row r="340" spans="1:19">
      <c r="A340" s="159"/>
      <c r="B340" s="59">
        <f>抵押物清单!C397</f>
        <v>25.45</v>
      </c>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t="s">
        <v>3913</v>
      </c>
      <c r="Q340" s="24">
        <f t="shared" si="53"/>
        <v>0.65</v>
      </c>
      <c r="R340" s="716">
        <f t="shared" ca="1" si="54"/>
        <v>10958</v>
      </c>
      <c r="S340" s="361">
        <f t="shared" ca="1" si="45"/>
        <v>28</v>
      </c>
    </row>
    <row r="341" spans="1:19">
      <c r="A341" s="159"/>
      <c r="B341" s="59">
        <f>抵押物清单!C398</f>
        <v>25.45</v>
      </c>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t="s">
        <v>3913</v>
      </c>
      <c r="Q341" s="24">
        <f t="shared" si="53"/>
        <v>0.65</v>
      </c>
      <c r="R341" s="716">
        <f t="shared" ca="1" si="54"/>
        <v>10958</v>
      </c>
      <c r="S341" s="361">
        <f t="shared" ca="1" si="45"/>
        <v>28</v>
      </c>
    </row>
    <row r="342" spans="1:19">
      <c r="A342" s="159"/>
      <c r="B342" s="59">
        <f>抵押物清单!C399</f>
        <v>25.45</v>
      </c>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t="s">
        <v>3913</v>
      </c>
      <c r="Q342" s="24">
        <f t="shared" si="53"/>
        <v>0.65</v>
      </c>
      <c r="R342" s="716">
        <f t="shared" ca="1" si="54"/>
        <v>10958</v>
      </c>
      <c r="S342" s="361">
        <f t="shared" ca="1" si="45"/>
        <v>28</v>
      </c>
    </row>
    <row r="343" spans="1:19">
      <c r="A343" s="159"/>
      <c r="B343" s="59">
        <f>抵押物清单!C400</f>
        <v>25.45</v>
      </c>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t="s">
        <v>3913</v>
      </c>
      <c r="Q343" s="24">
        <f t="shared" si="53"/>
        <v>0.65</v>
      </c>
      <c r="R343" s="716">
        <f t="shared" ca="1" si="54"/>
        <v>10958</v>
      </c>
      <c r="S343" s="361">
        <f t="shared" ca="1" si="45"/>
        <v>28</v>
      </c>
    </row>
    <row r="344" spans="1:19">
      <c r="A344" s="159"/>
      <c r="B344" s="59">
        <f>抵押物清单!C401</f>
        <v>25.45</v>
      </c>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t="s">
        <v>3913</v>
      </c>
      <c r="Q344" s="24">
        <f t="shared" si="53"/>
        <v>0.65</v>
      </c>
      <c r="R344" s="716">
        <f t="shared" ca="1" si="54"/>
        <v>10958</v>
      </c>
      <c r="S344" s="361">
        <f t="shared" ref="S344:S407" ca="1" si="55">ROUND(R344*B344/10000,0)</f>
        <v>28</v>
      </c>
    </row>
    <row r="345" spans="1:19">
      <c r="A345" s="159"/>
      <c r="B345" s="59">
        <f>抵押物清单!C402</f>
        <v>25.45</v>
      </c>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t="s">
        <v>3913</v>
      </c>
      <c r="Q345" s="24">
        <f t="shared" si="53"/>
        <v>0.65</v>
      </c>
      <c r="R345" s="716">
        <f t="shared" ca="1" si="54"/>
        <v>10958</v>
      </c>
      <c r="S345" s="361">
        <f t="shared" ca="1" si="55"/>
        <v>28</v>
      </c>
    </row>
    <row r="346" spans="1:19">
      <c r="A346" s="159"/>
      <c r="B346" s="59">
        <f>抵押物清单!C403</f>
        <v>25.45</v>
      </c>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t="s">
        <v>3913</v>
      </c>
      <c r="Q346" s="24">
        <f t="shared" ref="Q346:Q409" si="63">(SUMIF($17:$17,P346,$18:$18)-SUMIF($17:$17,$P$24,$18:$18)+100)/100</f>
        <v>0.65</v>
      </c>
      <c r="R346" s="716">
        <f t="shared" ref="R346:R409" ca="1" si="64">IF(B346="",0,ROUND($R$24*C346*E346*G346*I346*K346*M346*O346*Q346,0))</f>
        <v>10958</v>
      </c>
      <c r="S346" s="361">
        <f t="shared" ca="1" si="55"/>
        <v>28</v>
      </c>
    </row>
    <row r="347" spans="1:19">
      <c r="A347" s="159"/>
      <c r="B347" s="59">
        <f>抵押物清单!C404</f>
        <v>25.45</v>
      </c>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t="s">
        <v>3913</v>
      </c>
      <c r="Q347" s="24">
        <f t="shared" si="63"/>
        <v>0.65</v>
      </c>
      <c r="R347" s="716">
        <f t="shared" ca="1" si="64"/>
        <v>10958</v>
      </c>
      <c r="S347" s="361">
        <f t="shared" ca="1" si="55"/>
        <v>28</v>
      </c>
    </row>
    <row r="348" spans="1:19">
      <c r="A348" s="159"/>
      <c r="B348" s="59">
        <f>抵押物清单!C405</f>
        <v>23.74</v>
      </c>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t="s">
        <v>3913</v>
      </c>
      <c r="Q348" s="24">
        <f t="shared" si="63"/>
        <v>0.65</v>
      </c>
      <c r="R348" s="716">
        <f t="shared" ca="1" si="64"/>
        <v>10958</v>
      </c>
      <c r="S348" s="361">
        <f t="shared" ca="1" si="55"/>
        <v>26</v>
      </c>
    </row>
    <row r="349" spans="1:19">
      <c r="A349" s="159"/>
      <c r="B349" s="59">
        <f>抵押物清单!C406</f>
        <v>22.67</v>
      </c>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t="s">
        <v>3913</v>
      </c>
      <c r="Q349" s="24">
        <f t="shared" si="63"/>
        <v>0.65</v>
      </c>
      <c r="R349" s="716">
        <f t="shared" ca="1" si="64"/>
        <v>10958</v>
      </c>
      <c r="S349" s="361">
        <f t="shared" ca="1" si="55"/>
        <v>25</v>
      </c>
    </row>
    <row r="350" spans="1:19">
      <c r="A350" s="159"/>
      <c r="B350" s="59">
        <f>抵押物清单!C407</f>
        <v>20.329999999999998</v>
      </c>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t="s">
        <v>3913</v>
      </c>
      <c r="Q350" s="24">
        <f t="shared" si="63"/>
        <v>0.65</v>
      </c>
      <c r="R350" s="716">
        <f t="shared" ca="1" si="64"/>
        <v>10958</v>
      </c>
      <c r="S350" s="361">
        <f t="shared" ca="1" si="55"/>
        <v>22</v>
      </c>
    </row>
    <row r="351" spans="1:19">
      <c r="A351" s="159"/>
      <c r="B351" s="59">
        <f>抵押物清单!C408</f>
        <v>24.55</v>
      </c>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t="s">
        <v>3913</v>
      </c>
      <c r="Q351" s="24">
        <f t="shared" si="63"/>
        <v>0.65</v>
      </c>
      <c r="R351" s="716">
        <f t="shared" ca="1" si="64"/>
        <v>10958</v>
      </c>
      <c r="S351" s="361">
        <f t="shared" ca="1" si="55"/>
        <v>27</v>
      </c>
    </row>
    <row r="352" spans="1:19">
      <c r="A352" s="159"/>
      <c r="B352" s="59">
        <f>抵押物清单!C409</f>
        <v>25.78</v>
      </c>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t="s">
        <v>3913</v>
      </c>
      <c r="Q352" s="24">
        <f t="shared" si="63"/>
        <v>0.65</v>
      </c>
      <c r="R352" s="716">
        <f t="shared" ca="1" si="64"/>
        <v>10958</v>
      </c>
      <c r="S352" s="361">
        <f t="shared" ca="1" si="55"/>
        <v>28</v>
      </c>
    </row>
    <row r="353" spans="1:19">
      <c r="A353" s="159"/>
      <c r="B353" s="59">
        <f>抵押物清单!C410</f>
        <v>177.75</v>
      </c>
      <c r="C353" s="24">
        <f t="shared" si="56"/>
        <v>0.98</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t="s">
        <v>3913</v>
      </c>
      <c r="Q353" s="24">
        <f t="shared" si="63"/>
        <v>0.65</v>
      </c>
      <c r="R353" s="716">
        <f t="shared" ca="1" si="64"/>
        <v>10739</v>
      </c>
      <c r="S353" s="361">
        <f t="shared" ca="1" si="55"/>
        <v>191</v>
      </c>
    </row>
    <row r="354" spans="1:19">
      <c r="A354" s="159"/>
      <c r="B354" s="59">
        <f>抵押物清单!C411</f>
        <v>216.84</v>
      </c>
      <c r="C354" s="24">
        <f t="shared" si="56"/>
        <v>0.98</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t="s">
        <v>3913</v>
      </c>
      <c r="Q354" s="24">
        <f t="shared" si="63"/>
        <v>0.65</v>
      </c>
      <c r="R354" s="716">
        <f t="shared" ca="1" si="64"/>
        <v>10739</v>
      </c>
      <c r="S354" s="361">
        <f t="shared" ca="1" si="55"/>
        <v>233</v>
      </c>
    </row>
    <row r="355" spans="1:19">
      <c r="A355" s="159"/>
      <c r="B355" s="59">
        <f>抵押物清单!C412</f>
        <v>36.5</v>
      </c>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t="s">
        <v>3913</v>
      </c>
      <c r="Q355" s="24">
        <f t="shared" si="63"/>
        <v>0.65</v>
      </c>
      <c r="R355" s="716">
        <f t="shared" ca="1" si="64"/>
        <v>10958</v>
      </c>
      <c r="S355" s="361">
        <f t="shared" ca="1" si="55"/>
        <v>40</v>
      </c>
    </row>
    <row r="356" spans="1:19">
      <c r="A356" s="159"/>
      <c r="B356" s="59">
        <f>抵押物清单!C413</f>
        <v>36.78</v>
      </c>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t="s">
        <v>3913</v>
      </c>
      <c r="Q356" s="24">
        <f t="shared" si="63"/>
        <v>0.65</v>
      </c>
      <c r="R356" s="716">
        <f t="shared" ca="1" si="64"/>
        <v>10958</v>
      </c>
      <c r="S356" s="361">
        <f t="shared" ca="1" si="55"/>
        <v>40</v>
      </c>
    </row>
    <row r="357" spans="1:19">
      <c r="A357" s="159"/>
      <c r="B357" s="59">
        <f>抵押物清单!C414</f>
        <v>34.29</v>
      </c>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t="s">
        <v>3913</v>
      </c>
      <c r="Q357" s="24">
        <f t="shared" si="63"/>
        <v>0.65</v>
      </c>
      <c r="R357" s="716">
        <f t="shared" ca="1" si="64"/>
        <v>10958</v>
      </c>
      <c r="S357" s="361">
        <f t="shared" ca="1" si="55"/>
        <v>38</v>
      </c>
    </row>
    <row r="358" spans="1:19">
      <c r="A358" s="159"/>
      <c r="B358" s="59">
        <f>抵押物清单!C415</f>
        <v>35.409999999999997</v>
      </c>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t="s">
        <v>3913</v>
      </c>
      <c r="Q358" s="24">
        <f t="shared" si="63"/>
        <v>0.65</v>
      </c>
      <c r="R358" s="716">
        <f t="shared" ca="1" si="64"/>
        <v>10958</v>
      </c>
      <c r="S358" s="361">
        <f t="shared" ca="1" si="55"/>
        <v>39</v>
      </c>
    </row>
    <row r="359" spans="1:19">
      <c r="A359" s="159"/>
      <c r="B359" s="59">
        <f>抵押物清单!C416</f>
        <v>28.48</v>
      </c>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t="s">
        <v>3913</v>
      </c>
      <c r="Q359" s="24">
        <f t="shared" si="63"/>
        <v>0.65</v>
      </c>
      <c r="R359" s="716">
        <f t="shared" ca="1" si="64"/>
        <v>10958</v>
      </c>
      <c r="S359" s="361">
        <f t="shared" ca="1" si="55"/>
        <v>31</v>
      </c>
    </row>
    <row r="360" spans="1:19">
      <c r="A360" s="159"/>
      <c r="B360" s="59">
        <f>抵押物清单!C417</f>
        <v>39.729999999999997</v>
      </c>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t="s">
        <v>3913</v>
      </c>
      <c r="Q360" s="24">
        <f t="shared" si="63"/>
        <v>0.65</v>
      </c>
      <c r="R360" s="716">
        <f t="shared" ca="1" si="64"/>
        <v>10958</v>
      </c>
      <c r="S360" s="361">
        <f t="shared" ca="1" si="55"/>
        <v>44</v>
      </c>
    </row>
    <row r="361" spans="1:19">
      <c r="A361" s="159"/>
      <c r="B361" s="59">
        <f>抵押物清单!C418</f>
        <v>40.1</v>
      </c>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t="s">
        <v>3913</v>
      </c>
      <c r="Q361" s="24">
        <f t="shared" si="63"/>
        <v>0.65</v>
      </c>
      <c r="R361" s="716">
        <f t="shared" ca="1" si="64"/>
        <v>10958</v>
      </c>
      <c r="S361" s="361">
        <f t="shared" ca="1" si="55"/>
        <v>44</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4"/>
  <sheetViews>
    <sheetView topLeftCell="A410" zoomScale="90" zoomScaleNormal="90" workbookViewId="0">
      <selection activeCell="C423" sqref="C423"/>
    </sheetView>
  </sheetViews>
  <sheetFormatPr defaultRowHeight="13.5"/>
  <cols>
    <col min="1" max="1" width="6.875" style="2976" customWidth="1"/>
    <col min="2" max="2" width="41.75" style="2976" customWidth="1"/>
    <col min="3" max="3" width="35.5" style="2976" customWidth="1"/>
    <col min="4" max="4" width="12.125" style="2976" customWidth="1"/>
    <col min="5" max="5" width="9" style="2976"/>
    <col min="6" max="6" width="10.75" style="2976" customWidth="1"/>
    <col min="7" max="16384" width="9" style="2950"/>
  </cols>
  <sheetData>
    <row r="1" spans="1:7" ht="19.5" customHeight="1" thickBot="1">
      <c r="A1" s="3320"/>
      <c r="B1" s="3320"/>
      <c r="C1" s="3320"/>
      <c r="D1" s="3320"/>
      <c r="E1" s="2949"/>
      <c r="F1" s="2949"/>
    </row>
    <row r="2" spans="1:7" ht="20.100000000000001" customHeight="1" thickBot="1">
      <c r="A2" s="2951" t="s">
        <v>3056</v>
      </c>
      <c r="B2" s="2952" t="s">
        <v>3057</v>
      </c>
      <c r="C2" s="2952" t="s">
        <v>3058</v>
      </c>
      <c r="D2" s="2952" t="s">
        <v>3059</v>
      </c>
      <c r="E2" s="2952" t="s">
        <v>3060</v>
      </c>
      <c r="F2" s="2952" t="s">
        <v>3061</v>
      </c>
      <c r="G2" s="2953"/>
    </row>
    <row r="3" spans="1:7" ht="20.100000000000001" customHeight="1" thickBot="1">
      <c r="A3" s="2954">
        <v>1</v>
      </c>
      <c r="B3" s="2955" t="s">
        <v>3062</v>
      </c>
      <c r="C3" s="2955" t="s">
        <v>3917</v>
      </c>
      <c r="D3" s="2956">
        <v>126.55</v>
      </c>
      <c r="E3" s="2957" t="s">
        <v>3063</v>
      </c>
      <c r="F3" s="3321" t="s">
        <v>3064</v>
      </c>
    </row>
    <row r="4" spans="1:7" ht="20.100000000000001" customHeight="1" thickBot="1">
      <c r="A4" s="2954">
        <v>2</v>
      </c>
      <c r="B4" s="2955" t="s">
        <v>3065</v>
      </c>
      <c r="C4" s="2955" t="s">
        <v>3066</v>
      </c>
      <c r="D4" s="2956">
        <v>126.55</v>
      </c>
      <c r="E4" s="2957" t="s">
        <v>3063</v>
      </c>
      <c r="F4" s="3322"/>
    </row>
    <row r="5" spans="1:7" ht="20.100000000000001" customHeight="1" thickBot="1">
      <c r="A5" s="2954">
        <v>3</v>
      </c>
      <c r="B5" s="2955" t="s">
        <v>3067</v>
      </c>
      <c r="C5" s="2955" t="s">
        <v>3068</v>
      </c>
      <c r="D5" s="2956">
        <v>71.84</v>
      </c>
      <c r="E5" s="2957" t="s">
        <v>3069</v>
      </c>
      <c r="F5" s="3322"/>
    </row>
    <row r="6" spans="1:7" ht="20.100000000000001" customHeight="1" thickBot="1">
      <c r="A6" s="2954">
        <v>4</v>
      </c>
      <c r="B6" s="2955" t="s">
        <v>3070</v>
      </c>
      <c r="C6" s="2955" t="s">
        <v>3071</v>
      </c>
      <c r="D6" s="2956">
        <v>62.3</v>
      </c>
      <c r="E6" s="2957" t="s">
        <v>3069</v>
      </c>
      <c r="F6" s="3322"/>
    </row>
    <row r="7" spans="1:7" ht="20.100000000000001" customHeight="1" thickBot="1">
      <c r="A7" s="2954">
        <v>5</v>
      </c>
      <c r="B7" s="2955" t="s">
        <v>3072</v>
      </c>
      <c r="C7" s="2955" t="s">
        <v>3073</v>
      </c>
      <c r="D7" s="2956">
        <v>62.3</v>
      </c>
      <c r="E7" s="2957" t="s">
        <v>3069</v>
      </c>
      <c r="F7" s="3322"/>
    </row>
    <row r="8" spans="1:7" ht="20.100000000000001" customHeight="1" thickBot="1">
      <c r="A8" s="2954">
        <v>6</v>
      </c>
      <c r="B8" s="2955" t="s">
        <v>3074</v>
      </c>
      <c r="C8" s="2955" t="s">
        <v>3075</v>
      </c>
      <c r="D8" s="2956">
        <v>186.97</v>
      </c>
      <c r="E8" s="2957" t="s">
        <v>3076</v>
      </c>
      <c r="F8" s="3322"/>
    </row>
    <row r="9" spans="1:7" ht="20.100000000000001" customHeight="1" thickBot="1">
      <c r="A9" s="2954">
        <v>7</v>
      </c>
      <c r="B9" s="2955" t="s">
        <v>3077</v>
      </c>
      <c r="C9" s="2955" t="s">
        <v>3077</v>
      </c>
      <c r="D9" s="2956">
        <v>659.99</v>
      </c>
      <c r="E9" s="2957" t="s">
        <v>3078</v>
      </c>
      <c r="F9" s="3322"/>
    </row>
    <row r="10" spans="1:7" ht="20.100000000000001" customHeight="1" thickBot="1">
      <c r="A10" s="2954">
        <v>8</v>
      </c>
      <c r="B10" s="2955" t="s">
        <v>3079</v>
      </c>
      <c r="C10" s="2955" t="s">
        <v>3080</v>
      </c>
      <c r="D10" s="2958">
        <v>186.97</v>
      </c>
      <c r="E10" s="2957" t="s">
        <v>3069</v>
      </c>
      <c r="F10" s="3322"/>
    </row>
    <row r="11" spans="1:7" ht="20.100000000000001" customHeight="1" thickBot="1">
      <c r="A11" s="2954">
        <v>9</v>
      </c>
      <c r="B11" s="2955" t="s">
        <v>3081</v>
      </c>
      <c r="C11" s="2955" t="s">
        <v>3082</v>
      </c>
      <c r="D11" s="2956">
        <v>186.97</v>
      </c>
      <c r="E11" s="2957" t="s">
        <v>3076</v>
      </c>
      <c r="F11" s="3322"/>
    </row>
    <row r="12" spans="1:7" ht="20.100000000000001" customHeight="1" thickBot="1">
      <c r="A12" s="2954">
        <v>10</v>
      </c>
      <c r="B12" s="2955" t="s">
        <v>3083</v>
      </c>
      <c r="C12" s="2955" t="s">
        <v>3084</v>
      </c>
      <c r="D12" s="2956">
        <v>216.99</v>
      </c>
      <c r="E12" s="2957" t="s">
        <v>3076</v>
      </c>
      <c r="F12" s="3323"/>
    </row>
    <row r="13" spans="1:7" ht="20.100000000000001" customHeight="1" thickBot="1">
      <c r="A13" s="2954">
        <v>11</v>
      </c>
      <c r="B13" s="2955" t="s">
        <v>3085</v>
      </c>
      <c r="C13" s="2955" t="s">
        <v>3086</v>
      </c>
      <c r="D13" s="2956">
        <v>79.53</v>
      </c>
      <c r="E13" s="2957" t="s">
        <v>3069</v>
      </c>
      <c r="F13" s="2959"/>
    </row>
    <row r="14" spans="1:7" ht="20.100000000000001" customHeight="1" thickBot="1">
      <c r="A14" s="2954">
        <v>12</v>
      </c>
      <c r="B14" s="2955" t="s">
        <v>3087</v>
      </c>
      <c r="C14" s="2955" t="s">
        <v>3088</v>
      </c>
      <c r="D14" s="2956">
        <v>274.88</v>
      </c>
      <c r="E14" s="2960" t="s">
        <v>3076</v>
      </c>
      <c r="F14" s="2961" t="s">
        <v>3089</v>
      </c>
    </row>
    <row r="15" spans="1:7" ht="20.100000000000001" customHeight="1" thickBot="1">
      <c r="A15" s="2954">
        <v>13</v>
      </c>
      <c r="B15" s="2955" t="s">
        <v>3090</v>
      </c>
      <c r="C15" s="2955" t="s">
        <v>3091</v>
      </c>
      <c r="D15" s="2956">
        <v>271</v>
      </c>
      <c r="E15" s="2960" t="s">
        <v>3076</v>
      </c>
      <c r="F15" s="2962"/>
    </row>
    <row r="16" spans="1:7" ht="20.100000000000001" customHeight="1" thickBot="1">
      <c r="A16" s="2954">
        <v>14</v>
      </c>
      <c r="B16" s="2955" t="s">
        <v>3092</v>
      </c>
      <c r="C16" s="2955" t="s">
        <v>3093</v>
      </c>
      <c r="D16" s="2956">
        <v>104.32</v>
      </c>
      <c r="E16" s="2960" t="s">
        <v>3076</v>
      </c>
      <c r="F16" s="2962"/>
    </row>
    <row r="17" spans="1:6" ht="20.100000000000001" customHeight="1" thickBot="1">
      <c r="A17" s="2954">
        <v>15</v>
      </c>
      <c r="B17" s="2955" t="s">
        <v>3094</v>
      </c>
      <c r="C17" s="2955" t="s">
        <v>3095</v>
      </c>
      <c r="D17" s="2956">
        <v>121.67</v>
      </c>
      <c r="E17" s="2960" t="s">
        <v>3076</v>
      </c>
      <c r="F17" s="2962"/>
    </row>
    <row r="18" spans="1:6" ht="20.100000000000001" customHeight="1" thickBot="1">
      <c r="A18" s="2954">
        <v>16</v>
      </c>
      <c r="B18" s="2955" t="s">
        <v>3096</v>
      </c>
      <c r="C18" s="2955" t="s">
        <v>3097</v>
      </c>
      <c r="D18" s="2956">
        <v>73.27</v>
      </c>
      <c r="E18" s="2960" t="s">
        <v>3076</v>
      </c>
      <c r="F18" s="2962"/>
    </row>
    <row r="19" spans="1:6" ht="20.100000000000001" customHeight="1" thickBot="1">
      <c r="A19" s="2954">
        <v>17</v>
      </c>
      <c r="B19" s="2955" t="s">
        <v>3098</v>
      </c>
      <c r="C19" s="2955" t="s">
        <v>3099</v>
      </c>
      <c r="D19" s="2956">
        <v>76.67</v>
      </c>
      <c r="E19" s="2960" t="s">
        <v>3076</v>
      </c>
      <c r="F19" s="2962"/>
    </row>
    <row r="20" spans="1:6" ht="20.100000000000001" customHeight="1" thickBot="1">
      <c r="A20" s="2954">
        <v>18</v>
      </c>
      <c r="B20" s="2955" t="s">
        <v>3100</v>
      </c>
      <c r="C20" s="2955" t="s">
        <v>3101</v>
      </c>
      <c r="D20" s="2956">
        <v>76.67</v>
      </c>
      <c r="E20" s="2960" t="s">
        <v>3076</v>
      </c>
      <c r="F20" s="2962"/>
    </row>
    <row r="21" spans="1:6" ht="20.100000000000001" customHeight="1" thickBot="1">
      <c r="A21" s="2954">
        <v>19</v>
      </c>
      <c r="B21" s="2955" t="s">
        <v>3102</v>
      </c>
      <c r="C21" s="2955" t="s">
        <v>3103</v>
      </c>
      <c r="D21" s="2956">
        <v>76.67</v>
      </c>
      <c r="E21" s="2960" t="s">
        <v>3076</v>
      </c>
      <c r="F21" s="2962"/>
    </row>
    <row r="22" spans="1:6" ht="20.100000000000001" customHeight="1" thickBot="1">
      <c r="A22" s="2954">
        <v>20</v>
      </c>
      <c r="B22" s="2955" t="s">
        <v>3104</v>
      </c>
      <c r="C22" s="2955" t="s">
        <v>3105</v>
      </c>
      <c r="D22" s="2956">
        <v>76.67</v>
      </c>
      <c r="E22" s="2960" t="s">
        <v>3076</v>
      </c>
      <c r="F22" s="2962"/>
    </row>
    <row r="23" spans="1:6" ht="20.100000000000001" customHeight="1" thickBot="1">
      <c r="A23" s="2954">
        <v>21</v>
      </c>
      <c r="B23" s="2955" t="s">
        <v>3106</v>
      </c>
      <c r="C23" s="2955" t="s">
        <v>3107</v>
      </c>
      <c r="D23" s="2956">
        <v>80.08</v>
      </c>
      <c r="E23" s="2960" t="s">
        <v>3076</v>
      </c>
      <c r="F23" s="2962"/>
    </row>
    <row r="24" spans="1:6" ht="20.100000000000001" customHeight="1" thickBot="1">
      <c r="A24" s="2954">
        <v>22</v>
      </c>
      <c r="B24" s="2955" t="s">
        <v>3108</v>
      </c>
      <c r="C24" s="2955" t="s">
        <v>3109</v>
      </c>
      <c r="D24" s="2956">
        <v>101.79</v>
      </c>
      <c r="E24" s="2960" t="s">
        <v>3076</v>
      </c>
      <c r="F24" s="2962"/>
    </row>
    <row r="25" spans="1:6" ht="20.100000000000001" customHeight="1" thickBot="1">
      <c r="A25" s="2954">
        <v>23</v>
      </c>
      <c r="B25" s="2963" t="s">
        <v>3110</v>
      </c>
      <c r="C25" s="2963" t="s">
        <v>3111</v>
      </c>
      <c r="D25" s="2964">
        <v>342.37</v>
      </c>
      <c r="E25" s="2960" t="s">
        <v>3076</v>
      </c>
      <c r="F25" s="2962"/>
    </row>
    <row r="26" spans="1:6" ht="20.100000000000001" customHeight="1" thickBot="1">
      <c r="A26" s="2954">
        <v>24</v>
      </c>
      <c r="B26" s="2955" t="s">
        <v>3112</v>
      </c>
      <c r="C26" s="2955" t="s">
        <v>3113</v>
      </c>
      <c r="D26" s="2956">
        <v>84.99</v>
      </c>
      <c r="E26" s="2960" t="s">
        <v>3069</v>
      </c>
      <c r="F26" s="2962"/>
    </row>
    <row r="27" spans="1:6" ht="20.100000000000001" customHeight="1" thickBot="1">
      <c r="A27" s="2954">
        <v>25</v>
      </c>
      <c r="B27" s="2955" t="s">
        <v>3114</v>
      </c>
      <c r="C27" s="2955" t="s">
        <v>3115</v>
      </c>
      <c r="D27" s="2956">
        <v>107.22</v>
      </c>
      <c r="E27" s="2960" t="s">
        <v>3069</v>
      </c>
      <c r="F27" s="2962"/>
    </row>
    <row r="28" spans="1:6" ht="20.100000000000001" customHeight="1" thickBot="1">
      <c r="A28" s="2954">
        <v>26</v>
      </c>
      <c r="B28" s="2955" t="s">
        <v>3116</v>
      </c>
      <c r="C28" s="2955" t="s">
        <v>3117</v>
      </c>
      <c r="D28" s="2956">
        <v>66.13</v>
      </c>
      <c r="E28" s="2960" t="s">
        <v>3069</v>
      </c>
      <c r="F28" s="2962"/>
    </row>
    <row r="29" spans="1:6" ht="20.100000000000001" customHeight="1" thickBot="1">
      <c r="A29" s="2954">
        <v>27</v>
      </c>
      <c r="B29" s="2955" t="s">
        <v>3118</v>
      </c>
      <c r="C29" s="2955" t="s">
        <v>3119</v>
      </c>
      <c r="D29" s="2956">
        <v>69.22</v>
      </c>
      <c r="E29" s="2960" t="s">
        <v>3069</v>
      </c>
      <c r="F29" s="2962"/>
    </row>
    <row r="30" spans="1:6" ht="20.100000000000001" customHeight="1" thickBot="1">
      <c r="A30" s="2954">
        <v>28</v>
      </c>
      <c r="B30" s="2955" t="s">
        <v>3120</v>
      </c>
      <c r="C30" s="2955" t="s">
        <v>3121</v>
      </c>
      <c r="D30" s="2956">
        <v>69.22</v>
      </c>
      <c r="E30" s="2960" t="s">
        <v>3069</v>
      </c>
      <c r="F30" s="2962"/>
    </row>
    <row r="31" spans="1:6" ht="20.100000000000001" customHeight="1" thickBot="1">
      <c r="A31" s="2954">
        <v>29</v>
      </c>
      <c r="B31" s="2955" t="s">
        <v>3122</v>
      </c>
      <c r="C31" s="2955" t="s">
        <v>3123</v>
      </c>
      <c r="D31" s="2956">
        <v>69.22</v>
      </c>
      <c r="E31" s="2960" t="s">
        <v>3069</v>
      </c>
      <c r="F31" s="2962"/>
    </row>
    <row r="32" spans="1:6" ht="20.100000000000001" customHeight="1" thickBot="1">
      <c r="A32" s="2954">
        <v>30</v>
      </c>
      <c r="B32" s="2955" t="s">
        <v>3124</v>
      </c>
      <c r="C32" s="2955" t="s">
        <v>3125</v>
      </c>
      <c r="D32" s="2956">
        <v>69.22</v>
      </c>
      <c r="E32" s="2960" t="s">
        <v>3069</v>
      </c>
      <c r="F32" s="2962"/>
    </row>
    <row r="33" spans="1:6" ht="20.100000000000001" customHeight="1" thickBot="1">
      <c r="A33" s="2954">
        <v>31</v>
      </c>
      <c r="B33" s="2955" t="s">
        <v>3126</v>
      </c>
      <c r="C33" s="2955" t="s">
        <v>3127</v>
      </c>
      <c r="D33" s="2956">
        <v>72.319999999999993</v>
      </c>
      <c r="E33" s="2960" t="s">
        <v>3069</v>
      </c>
      <c r="F33" s="2962"/>
    </row>
    <row r="34" spans="1:6" ht="20.100000000000001" customHeight="1" thickBot="1">
      <c r="A34" s="2954">
        <v>32</v>
      </c>
      <c r="B34" s="2955" t="s">
        <v>3128</v>
      </c>
      <c r="C34" s="2955" t="s">
        <v>3129</v>
      </c>
      <c r="D34" s="2956">
        <v>84.12</v>
      </c>
      <c r="E34" s="2960" t="s">
        <v>3069</v>
      </c>
      <c r="F34" s="2962"/>
    </row>
    <row r="35" spans="1:6" ht="20.100000000000001" customHeight="1" thickBot="1">
      <c r="A35" s="2954">
        <v>33</v>
      </c>
      <c r="B35" s="2955" t="s">
        <v>3130</v>
      </c>
      <c r="C35" s="2955" t="s">
        <v>3131</v>
      </c>
      <c r="D35" s="2956">
        <v>88.75</v>
      </c>
      <c r="E35" s="2960" t="s">
        <v>3069</v>
      </c>
      <c r="F35" s="2962"/>
    </row>
    <row r="36" spans="1:6" ht="20.100000000000001" customHeight="1" thickBot="1">
      <c r="A36" s="2954">
        <v>34</v>
      </c>
      <c r="B36" s="2955" t="s">
        <v>3132</v>
      </c>
      <c r="C36" s="2955" t="s">
        <v>3133</v>
      </c>
      <c r="D36" s="2956">
        <v>90.79</v>
      </c>
      <c r="E36" s="2960" t="s">
        <v>3069</v>
      </c>
      <c r="F36" s="2962"/>
    </row>
    <row r="37" spans="1:6" ht="20.100000000000001" customHeight="1" thickBot="1">
      <c r="A37" s="2954">
        <v>35</v>
      </c>
      <c r="B37" s="2955" t="s">
        <v>3134</v>
      </c>
      <c r="C37" s="2955" t="s">
        <v>3135</v>
      </c>
      <c r="D37" s="2956">
        <v>137</v>
      </c>
      <c r="E37" s="2960" t="s">
        <v>3136</v>
      </c>
      <c r="F37" s="2962"/>
    </row>
    <row r="38" spans="1:6" ht="20.100000000000001" customHeight="1" thickBot="1">
      <c r="A38" s="2954">
        <v>36</v>
      </c>
      <c r="B38" s="2955" t="s">
        <v>3137</v>
      </c>
      <c r="C38" s="2955" t="s">
        <v>3138</v>
      </c>
      <c r="D38" s="2956">
        <v>102.13</v>
      </c>
      <c r="E38" s="2960" t="s">
        <v>3136</v>
      </c>
      <c r="F38" s="2962"/>
    </row>
    <row r="39" spans="1:6" ht="20.100000000000001" customHeight="1" thickBot="1">
      <c r="A39" s="2954">
        <v>37</v>
      </c>
      <c r="B39" s="2955" t="s">
        <v>3139</v>
      </c>
      <c r="C39" s="2955" t="s">
        <v>3140</v>
      </c>
      <c r="D39" s="2956">
        <v>74.22</v>
      </c>
      <c r="E39" s="2960" t="s">
        <v>3136</v>
      </c>
      <c r="F39" s="2962"/>
    </row>
    <row r="40" spans="1:6" ht="20.100000000000001" customHeight="1" thickBot="1">
      <c r="A40" s="2954">
        <v>38</v>
      </c>
      <c r="B40" s="2955" t="s">
        <v>3141</v>
      </c>
      <c r="C40" s="2955" t="s">
        <v>3142</v>
      </c>
      <c r="D40" s="2956">
        <v>75.05</v>
      </c>
      <c r="E40" s="2960" t="s">
        <v>3136</v>
      </c>
      <c r="F40" s="2965"/>
    </row>
    <row r="41" spans="1:6" ht="20.100000000000001" customHeight="1" thickBot="1">
      <c r="A41" s="2954">
        <v>39</v>
      </c>
      <c r="B41" s="2955" t="s">
        <v>3143</v>
      </c>
      <c r="C41" s="2955" t="s">
        <v>3144</v>
      </c>
      <c r="D41" s="2956">
        <v>109.78</v>
      </c>
      <c r="E41" s="2960" t="s">
        <v>3136</v>
      </c>
      <c r="F41" s="2961"/>
    </row>
    <row r="42" spans="1:6" ht="20.100000000000001" customHeight="1" thickBot="1">
      <c r="A42" s="2954">
        <v>40</v>
      </c>
      <c r="B42" s="2955" t="s">
        <v>3145</v>
      </c>
      <c r="C42" s="2955" t="s">
        <v>3146</v>
      </c>
      <c r="D42" s="2956">
        <v>61.63</v>
      </c>
      <c r="E42" s="2960" t="s">
        <v>3076</v>
      </c>
      <c r="F42" s="2961"/>
    </row>
    <row r="43" spans="1:6" ht="20.100000000000001" customHeight="1" thickBot="1">
      <c r="A43" s="2954">
        <v>41</v>
      </c>
      <c r="B43" s="2963" t="s">
        <v>3147</v>
      </c>
      <c r="C43" s="2963" t="s">
        <v>3148</v>
      </c>
      <c r="D43" s="2964">
        <v>267.58999999999997</v>
      </c>
      <c r="E43" s="2960" t="s">
        <v>3076</v>
      </c>
      <c r="F43" s="2966" t="s">
        <v>3149</v>
      </c>
    </row>
    <row r="44" spans="1:6" ht="20.100000000000001" customHeight="1" thickBot="1">
      <c r="A44" s="2954">
        <v>42</v>
      </c>
      <c r="B44" s="2963" t="s">
        <v>3150</v>
      </c>
      <c r="C44" s="2963" t="s">
        <v>3151</v>
      </c>
      <c r="D44" s="2964">
        <v>267.58999999999997</v>
      </c>
      <c r="E44" s="2960" t="s">
        <v>3076</v>
      </c>
      <c r="F44" s="2967" t="s">
        <v>3152</v>
      </c>
    </row>
    <row r="45" spans="1:6" ht="20.100000000000001" customHeight="1" thickBot="1">
      <c r="A45" s="2954">
        <v>43</v>
      </c>
      <c r="B45" s="2963" t="s">
        <v>3153</v>
      </c>
      <c r="C45" s="2963" t="s">
        <v>3154</v>
      </c>
      <c r="D45" s="2964">
        <v>231.68</v>
      </c>
      <c r="E45" s="2960" t="s">
        <v>3076</v>
      </c>
      <c r="F45" s="2966"/>
    </row>
    <row r="46" spans="1:6" ht="20.100000000000001" customHeight="1" thickBot="1">
      <c r="A46" s="2954">
        <v>44</v>
      </c>
      <c r="B46" s="2963" t="s">
        <v>3155</v>
      </c>
      <c r="C46" s="2963" t="s">
        <v>3156</v>
      </c>
      <c r="D46" s="2964">
        <v>231.68</v>
      </c>
      <c r="E46" s="2960" t="s">
        <v>3076</v>
      </c>
      <c r="F46" s="2961"/>
    </row>
    <row r="47" spans="1:6" ht="20.100000000000001" customHeight="1" thickBot="1">
      <c r="A47" s="2954">
        <v>45</v>
      </c>
      <c r="B47" s="2963" t="s">
        <v>3157</v>
      </c>
      <c r="C47" s="2963" t="s">
        <v>3158</v>
      </c>
      <c r="D47" s="2964">
        <v>237.41</v>
      </c>
      <c r="E47" s="2960" t="s">
        <v>3076</v>
      </c>
      <c r="F47" s="2961"/>
    </row>
    <row r="48" spans="1:6" ht="20.100000000000001" customHeight="1" thickBot="1">
      <c r="A48" s="2954">
        <v>46</v>
      </c>
      <c r="B48" s="2963" t="s">
        <v>3159</v>
      </c>
      <c r="C48" s="2963" t="s">
        <v>3160</v>
      </c>
      <c r="D48" s="2964">
        <v>227.69</v>
      </c>
      <c r="E48" s="2960" t="s">
        <v>3076</v>
      </c>
      <c r="F48" s="2961"/>
    </row>
    <row r="49" spans="1:6" ht="20.100000000000001" customHeight="1" thickBot="1">
      <c r="A49" s="2954">
        <v>47</v>
      </c>
      <c r="B49" s="2963" t="s">
        <v>3161</v>
      </c>
      <c r="C49" s="2963" t="s">
        <v>3162</v>
      </c>
      <c r="D49" s="2964">
        <v>227.69</v>
      </c>
      <c r="E49" s="2960" t="s">
        <v>3076</v>
      </c>
      <c r="F49" s="2961"/>
    </row>
    <row r="50" spans="1:6" ht="20.100000000000001" customHeight="1" thickBot="1">
      <c r="A50" s="2954">
        <v>48</v>
      </c>
      <c r="B50" s="2963" t="s">
        <v>3163</v>
      </c>
      <c r="C50" s="2963" t="s">
        <v>3164</v>
      </c>
      <c r="D50" s="2964">
        <v>237.41</v>
      </c>
      <c r="E50" s="2960" t="s">
        <v>3076</v>
      </c>
      <c r="F50" s="2961"/>
    </row>
    <row r="51" spans="1:6" ht="20.100000000000001" customHeight="1" thickBot="1">
      <c r="A51" s="2954">
        <v>49</v>
      </c>
      <c r="B51" s="2963" t="s">
        <v>3165</v>
      </c>
      <c r="C51" s="2963" t="s">
        <v>3166</v>
      </c>
      <c r="D51" s="2964">
        <v>233.13</v>
      </c>
      <c r="E51" s="2960" t="s">
        <v>3076</v>
      </c>
      <c r="F51" s="2961"/>
    </row>
    <row r="52" spans="1:6" ht="20.100000000000001" customHeight="1" thickBot="1">
      <c r="A52" s="2954">
        <v>50</v>
      </c>
      <c r="B52" s="2963" t="s">
        <v>3167</v>
      </c>
      <c r="C52" s="2963" t="s">
        <v>3168</v>
      </c>
      <c r="D52" s="2964">
        <v>233.54</v>
      </c>
      <c r="E52" s="2960" t="s">
        <v>3076</v>
      </c>
      <c r="F52" s="2957"/>
    </row>
    <row r="53" spans="1:6" ht="20.100000000000001" customHeight="1" thickBot="1">
      <c r="A53" s="2954">
        <v>51</v>
      </c>
      <c r="B53" s="2963" t="s">
        <v>3169</v>
      </c>
      <c r="C53" s="2963" t="s">
        <v>3170</v>
      </c>
      <c r="D53" s="2964">
        <v>267.25</v>
      </c>
      <c r="E53" s="2960" t="s">
        <v>3076</v>
      </c>
      <c r="F53" s="2968"/>
    </row>
    <row r="54" spans="1:6" ht="20.100000000000001" customHeight="1" thickBot="1">
      <c r="A54" s="2954">
        <v>52</v>
      </c>
      <c r="B54" s="2963" t="s">
        <v>3171</v>
      </c>
      <c r="C54" s="2963" t="s">
        <v>3172</v>
      </c>
      <c r="D54" s="2964">
        <v>291.3</v>
      </c>
      <c r="E54" s="2960" t="s">
        <v>3076</v>
      </c>
      <c r="F54" s="2968"/>
    </row>
    <row r="55" spans="1:6" ht="20.100000000000001" customHeight="1" thickBot="1">
      <c r="A55" s="2954">
        <v>53</v>
      </c>
      <c r="B55" s="2955" t="s">
        <v>3173</v>
      </c>
      <c r="C55" s="2955" t="s">
        <v>3174</v>
      </c>
      <c r="D55" s="2956">
        <v>279.64999999999998</v>
      </c>
      <c r="E55" s="2960" t="s">
        <v>3076</v>
      </c>
      <c r="F55" s="2968"/>
    </row>
    <row r="56" spans="1:6" ht="20.100000000000001" customHeight="1" thickBot="1">
      <c r="A56" s="2954">
        <v>54</v>
      </c>
      <c r="B56" s="2955" t="s">
        <v>3175</v>
      </c>
      <c r="C56" s="2955" t="s">
        <v>3176</v>
      </c>
      <c r="D56" s="2956">
        <v>195.13</v>
      </c>
      <c r="E56" s="2960" t="s">
        <v>3076</v>
      </c>
      <c r="F56" s="2968"/>
    </row>
    <row r="57" spans="1:6" ht="20.100000000000001" customHeight="1" thickBot="1">
      <c r="A57" s="2954">
        <v>55</v>
      </c>
      <c r="B57" s="2955" t="s">
        <v>3920</v>
      </c>
      <c r="C57" s="2955" t="s">
        <v>3177</v>
      </c>
      <c r="D57" s="2956">
        <v>199.54</v>
      </c>
      <c r="E57" s="2960" t="s">
        <v>3076</v>
      </c>
      <c r="F57" s="2968" t="s">
        <v>3178</v>
      </c>
    </row>
    <row r="58" spans="1:6" ht="20.100000000000001" customHeight="1" thickBot="1">
      <c r="A58" s="2954">
        <v>56</v>
      </c>
      <c r="B58" s="2955" t="s">
        <v>3179</v>
      </c>
      <c r="C58" s="2955" t="s">
        <v>3180</v>
      </c>
      <c r="D58" s="2956">
        <v>111.61</v>
      </c>
      <c r="E58" s="2960" t="s">
        <v>3076</v>
      </c>
      <c r="F58" s="2969"/>
    </row>
    <row r="59" spans="1:6" ht="20.100000000000001" customHeight="1" thickBot="1">
      <c r="A59" s="2954">
        <v>57</v>
      </c>
      <c r="B59" s="2955" t="s">
        <v>3181</v>
      </c>
      <c r="C59" s="2955" t="s">
        <v>3182</v>
      </c>
      <c r="D59" s="2956">
        <v>107.28</v>
      </c>
      <c r="E59" s="2960" t="s">
        <v>3076</v>
      </c>
      <c r="F59" s="2970"/>
    </row>
    <row r="60" spans="1:6" ht="20.100000000000001" customHeight="1" thickBot="1">
      <c r="A60" s="2954">
        <v>58</v>
      </c>
      <c r="B60" s="2955" t="s">
        <v>3183</v>
      </c>
      <c r="C60" s="2955" t="s">
        <v>3184</v>
      </c>
      <c r="D60" s="2956">
        <v>120.91</v>
      </c>
      <c r="E60" s="2960" t="s">
        <v>3076</v>
      </c>
      <c r="F60" s="2957"/>
    </row>
    <row r="61" spans="1:6" ht="20.100000000000001" customHeight="1" thickBot="1">
      <c r="A61" s="2954">
        <v>59</v>
      </c>
      <c r="B61" s="2955" t="s">
        <v>3185</v>
      </c>
      <c r="C61" s="2955" t="s">
        <v>3186</v>
      </c>
      <c r="D61" s="2956">
        <v>157.43</v>
      </c>
      <c r="E61" s="2960" t="s">
        <v>3076</v>
      </c>
      <c r="F61" s="3324"/>
    </row>
    <row r="62" spans="1:6" ht="20.100000000000001" customHeight="1" thickBot="1">
      <c r="A62" s="2954">
        <v>60</v>
      </c>
      <c r="B62" s="2955" t="s">
        <v>3187</v>
      </c>
      <c r="C62" s="2955" t="s">
        <v>3188</v>
      </c>
      <c r="D62" s="2956">
        <v>130.88999999999999</v>
      </c>
      <c r="E62" s="2960" t="s">
        <v>3076</v>
      </c>
      <c r="F62" s="3325"/>
    </row>
    <row r="63" spans="1:6" ht="20.100000000000001" customHeight="1" thickBot="1">
      <c r="A63" s="2954">
        <v>61</v>
      </c>
      <c r="B63" s="2955" t="s">
        <v>3189</v>
      </c>
      <c r="C63" s="2955" t="s">
        <v>3190</v>
      </c>
      <c r="D63" s="2956">
        <v>97.47</v>
      </c>
      <c r="E63" s="2960" t="s">
        <v>3076</v>
      </c>
      <c r="F63" s="3325"/>
    </row>
    <row r="64" spans="1:6" ht="20.100000000000001" customHeight="1" thickBot="1">
      <c r="A64" s="2954">
        <v>62</v>
      </c>
      <c r="B64" s="2955" t="s">
        <v>3191</v>
      </c>
      <c r="C64" s="2955" t="s">
        <v>3192</v>
      </c>
      <c r="D64" s="2956">
        <v>88.85</v>
      </c>
      <c r="E64" s="2960" t="s">
        <v>3076</v>
      </c>
      <c r="F64" s="3325"/>
    </row>
    <row r="65" spans="1:6" ht="20.100000000000001" customHeight="1" thickBot="1">
      <c r="A65" s="2954">
        <v>63</v>
      </c>
      <c r="B65" s="2955" t="s">
        <v>3193</v>
      </c>
      <c r="C65" s="2955" t="s">
        <v>3194</v>
      </c>
      <c r="D65" s="2956">
        <v>101.26</v>
      </c>
      <c r="E65" s="2960" t="s">
        <v>3076</v>
      </c>
      <c r="F65" s="3326"/>
    </row>
    <row r="66" spans="1:6" ht="20.100000000000001" customHeight="1" thickBot="1">
      <c r="A66" s="2954">
        <v>64</v>
      </c>
      <c r="B66" s="2955" t="s">
        <v>3195</v>
      </c>
      <c r="C66" s="2955" t="s">
        <v>3196</v>
      </c>
      <c r="D66" s="2956">
        <v>101.64</v>
      </c>
      <c r="E66" s="2960" t="s">
        <v>3076</v>
      </c>
      <c r="F66" s="2960"/>
    </row>
    <row r="67" spans="1:6" ht="20.100000000000001" customHeight="1" thickBot="1">
      <c r="A67" s="2954">
        <v>65</v>
      </c>
      <c r="B67" s="2955" t="s">
        <v>3197</v>
      </c>
      <c r="C67" s="2955" t="s">
        <v>3198</v>
      </c>
      <c r="D67" s="2956">
        <v>105.21</v>
      </c>
      <c r="E67" s="2960" t="s">
        <v>3076</v>
      </c>
      <c r="F67" s="2960"/>
    </row>
    <row r="68" spans="1:6" ht="20.100000000000001" customHeight="1" thickBot="1">
      <c r="A68" s="2954">
        <v>66</v>
      </c>
      <c r="B68" s="2955" t="s">
        <v>3199</v>
      </c>
      <c r="C68" s="2955" t="s">
        <v>3200</v>
      </c>
      <c r="D68" s="2956">
        <v>107.14</v>
      </c>
      <c r="E68" s="2960" t="s">
        <v>3076</v>
      </c>
      <c r="F68" s="2960"/>
    </row>
    <row r="69" spans="1:6" ht="20.100000000000001" customHeight="1" thickBot="1">
      <c r="A69" s="2954">
        <v>67</v>
      </c>
      <c r="B69" s="2955" t="s">
        <v>3201</v>
      </c>
      <c r="C69" s="2955" t="s">
        <v>3202</v>
      </c>
      <c r="D69" s="2956">
        <v>337.15</v>
      </c>
      <c r="E69" s="2957" t="s">
        <v>3076</v>
      </c>
      <c r="F69" s="2955" t="s">
        <v>3203</v>
      </c>
    </row>
    <row r="70" spans="1:6" ht="20.100000000000001" customHeight="1" thickBot="1">
      <c r="A70" s="2954">
        <v>68</v>
      </c>
      <c r="B70" s="2955" t="s">
        <v>3204</v>
      </c>
      <c r="C70" s="2955" t="s">
        <v>3205</v>
      </c>
      <c r="D70" s="2956">
        <v>310.25</v>
      </c>
      <c r="E70" s="2957" t="s">
        <v>3076</v>
      </c>
      <c r="F70" s="2955"/>
    </row>
    <row r="71" spans="1:6" ht="20.100000000000001" customHeight="1" thickBot="1">
      <c r="A71" s="2954">
        <v>69</v>
      </c>
      <c r="B71" s="2955" t="s">
        <v>3206</v>
      </c>
      <c r="C71" s="2955" t="s">
        <v>3207</v>
      </c>
      <c r="D71" s="2956">
        <v>311.17</v>
      </c>
      <c r="E71" s="2957" t="s">
        <v>3076</v>
      </c>
      <c r="F71" s="2955"/>
    </row>
    <row r="72" spans="1:6" ht="20.100000000000001" customHeight="1" thickBot="1">
      <c r="A72" s="2954">
        <v>70</v>
      </c>
      <c r="B72" s="2955" t="s">
        <v>3208</v>
      </c>
      <c r="C72" s="2955" t="s">
        <v>3209</v>
      </c>
      <c r="D72" s="2956">
        <v>282.42</v>
      </c>
      <c r="E72" s="2957" t="s">
        <v>3076</v>
      </c>
      <c r="F72" s="2955"/>
    </row>
    <row r="73" spans="1:6" ht="20.100000000000001" customHeight="1" thickBot="1">
      <c r="A73" s="2954">
        <v>71</v>
      </c>
      <c r="B73" s="2955" t="s">
        <v>3210</v>
      </c>
      <c r="C73" s="2955" t="s">
        <v>3211</v>
      </c>
      <c r="D73" s="2956">
        <v>90.72</v>
      </c>
      <c r="E73" s="2957" t="s">
        <v>3076</v>
      </c>
      <c r="F73" s="2955"/>
    </row>
    <row r="74" spans="1:6" ht="20.100000000000001" customHeight="1" thickBot="1">
      <c r="A74" s="2971" t="s">
        <v>37</v>
      </c>
      <c r="B74" s="2955"/>
      <c r="C74" s="2955"/>
      <c r="D74" s="2972">
        <f>SUM(D3:D73)</f>
        <v>11263.709999999997</v>
      </c>
      <c r="E74" s="2960"/>
      <c r="F74" s="2960"/>
    </row>
    <row r="75" spans="1:6">
      <c r="A75" s="2973"/>
      <c r="B75" s="2974"/>
      <c r="C75" s="2975"/>
      <c r="D75" s="2974"/>
    </row>
    <row r="76" spans="1:6">
      <c r="B76" s="2977"/>
      <c r="C76" s="2978"/>
    </row>
    <row r="77" spans="1:6">
      <c r="B77" s="2977"/>
      <c r="C77" s="2978"/>
    </row>
    <row r="78" spans="1:6">
      <c r="A78" s="2979"/>
      <c r="B78" s="2980"/>
      <c r="C78" s="2981"/>
      <c r="D78" s="2982" t="s">
        <v>3212</v>
      </c>
    </row>
    <row r="79" spans="1:6" ht="22.5" customHeight="1">
      <c r="A79" s="3327" t="s">
        <v>3213</v>
      </c>
      <c r="B79" s="3328"/>
      <c r="C79" s="3328"/>
      <c r="D79" s="3329"/>
    </row>
    <row r="80" spans="1:6">
      <c r="A80" s="2983" t="s">
        <v>3056</v>
      </c>
      <c r="B80" s="2983" t="s">
        <v>3214</v>
      </c>
      <c r="C80" s="2983" t="s">
        <v>3215</v>
      </c>
      <c r="D80" s="2983" t="s">
        <v>3216</v>
      </c>
    </row>
    <row r="81" spans="1:4" ht="14.25">
      <c r="A81" s="2984">
        <v>1</v>
      </c>
      <c r="B81" s="2985" t="s">
        <v>3217</v>
      </c>
      <c r="C81" s="2986">
        <v>28.39</v>
      </c>
      <c r="D81" s="2987" t="s">
        <v>3218</v>
      </c>
    </row>
    <row r="82" spans="1:4">
      <c r="A82" s="2984">
        <v>2</v>
      </c>
      <c r="B82" s="2988" t="s">
        <v>3219</v>
      </c>
      <c r="C82" s="2986">
        <v>25.61</v>
      </c>
      <c r="D82" s="2987" t="s">
        <v>3220</v>
      </c>
    </row>
    <row r="83" spans="1:4">
      <c r="A83" s="2984">
        <v>3</v>
      </c>
      <c r="B83" s="2988" t="s">
        <v>3221</v>
      </c>
      <c r="C83" s="2986">
        <v>25.61</v>
      </c>
      <c r="D83" s="2987" t="s">
        <v>3222</v>
      </c>
    </row>
    <row r="84" spans="1:4">
      <c r="A84" s="2984">
        <v>4</v>
      </c>
      <c r="B84" s="2988" t="s">
        <v>3223</v>
      </c>
      <c r="C84" s="2986">
        <v>25.61</v>
      </c>
      <c r="D84" s="2987" t="s">
        <v>3224</v>
      </c>
    </row>
    <row r="85" spans="1:4">
      <c r="A85" s="2984">
        <v>5</v>
      </c>
      <c r="B85" s="2988" t="s">
        <v>3225</v>
      </c>
      <c r="C85" s="2986">
        <v>25.61</v>
      </c>
      <c r="D85" s="2987" t="s">
        <v>3226</v>
      </c>
    </row>
    <row r="86" spans="1:4">
      <c r="A86" s="2984">
        <v>6</v>
      </c>
      <c r="B86" s="2988" t="s">
        <v>3227</v>
      </c>
      <c r="C86" s="2986">
        <v>28.39</v>
      </c>
      <c r="D86" s="2987" t="s">
        <v>3228</v>
      </c>
    </row>
    <row r="87" spans="1:4">
      <c r="A87" s="2984">
        <v>7</v>
      </c>
      <c r="B87" s="2988" t="s">
        <v>3229</v>
      </c>
      <c r="C87" s="2986">
        <v>25.61</v>
      </c>
      <c r="D87" s="2987" t="s">
        <v>3230</v>
      </c>
    </row>
    <row r="88" spans="1:4">
      <c r="A88" s="2984">
        <v>8</v>
      </c>
      <c r="B88" s="2988" t="s">
        <v>3231</v>
      </c>
      <c r="C88" s="2986">
        <v>25.61</v>
      </c>
      <c r="D88" s="2987" t="s">
        <v>3232</v>
      </c>
    </row>
    <row r="89" spans="1:4">
      <c r="A89" s="2984">
        <v>9</v>
      </c>
      <c r="B89" s="2988" t="s">
        <v>3233</v>
      </c>
      <c r="C89" s="2986">
        <v>28.39</v>
      </c>
      <c r="D89" s="2987" t="s">
        <v>3234</v>
      </c>
    </row>
    <row r="90" spans="1:4">
      <c r="A90" s="2984">
        <v>10</v>
      </c>
      <c r="B90" s="2988" t="s">
        <v>3235</v>
      </c>
      <c r="C90" s="2986">
        <v>28.39</v>
      </c>
      <c r="D90" s="2987" t="s">
        <v>3236</v>
      </c>
    </row>
    <row r="91" spans="1:4">
      <c r="A91" s="2984">
        <v>11</v>
      </c>
      <c r="B91" s="2988" t="s">
        <v>3237</v>
      </c>
      <c r="C91" s="2986">
        <v>25.61</v>
      </c>
      <c r="D91" s="2987" t="s">
        <v>3238</v>
      </c>
    </row>
    <row r="92" spans="1:4">
      <c r="A92" s="2984">
        <v>12</v>
      </c>
      <c r="B92" s="2988" t="s">
        <v>3239</v>
      </c>
      <c r="C92" s="2986">
        <v>25.61</v>
      </c>
      <c r="D92" s="2987" t="s">
        <v>3240</v>
      </c>
    </row>
    <row r="93" spans="1:4">
      <c r="A93" s="2984">
        <v>13</v>
      </c>
      <c r="B93" s="2988" t="s">
        <v>3241</v>
      </c>
      <c r="C93" s="2986">
        <v>31.76</v>
      </c>
      <c r="D93" s="2987" t="s">
        <v>3242</v>
      </c>
    </row>
    <row r="94" spans="1:4">
      <c r="A94" s="2984">
        <v>14</v>
      </c>
      <c r="B94" s="2988" t="s">
        <v>3243</v>
      </c>
      <c r="C94" s="2986">
        <v>32.590000000000003</v>
      </c>
      <c r="D94" s="2987" t="s">
        <v>3244</v>
      </c>
    </row>
    <row r="95" spans="1:4">
      <c r="A95" s="2984">
        <v>15</v>
      </c>
      <c r="B95" s="2988" t="s">
        <v>3245</v>
      </c>
      <c r="C95" s="2986">
        <v>46.7</v>
      </c>
      <c r="D95" s="2987" t="s">
        <v>3246</v>
      </c>
    </row>
    <row r="96" spans="1:4">
      <c r="A96" s="2984">
        <v>16</v>
      </c>
      <c r="B96" s="2988" t="s">
        <v>3247</v>
      </c>
      <c r="C96" s="2986">
        <v>44.47</v>
      </c>
      <c r="D96" s="2987" t="s">
        <v>3248</v>
      </c>
    </row>
    <row r="97" spans="1:4">
      <c r="A97" s="2984">
        <v>17</v>
      </c>
      <c r="B97" s="2988" t="s">
        <v>3249</v>
      </c>
      <c r="C97" s="2986">
        <v>49.26</v>
      </c>
      <c r="D97" s="2987" t="s">
        <v>3250</v>
      </c>
    </row>
    <row r="98" spans="1:4">
      <c r="A98" s="2984">
        <v>18</v>
      </c>
      <c r="B98" s="2988" t="s">
        <v>3251</v>
      </c>
      <c r="C98" s="2986">
        <v>26.8</v>
      </c>
      <c r="D98" s="2987" t="s">
        <v>3252</v>
      </c>
    </row>
    <row r="99" spans="1:4">
      <c r="A99" s="2984">
        <v>19</v>
      </c>
      <c r="B99" s="2988" t="s">
        <v>3253</v>
      </c>
      <c r="C99" s="2986">
        <v>28.06</v>
      </c>
      <c r="D99" s="2987" t="s">
        <v>3254</v>
      </c>
    </row>
    <row r="100" spans="1:4">
      <c r="A100" s="2984">
        <v>20</v>
      </c>
      <c r="B100" s="2989" t="s">
        <v>3255</v>
      </c>
      <c r="C100" s="2986">
        <v>30.07</v>
      </c>
      <c r="D100" s="2990" t="s">
        <v>3256</v>
      </c>
    </row>
    <row r="101" spans="1:4">
      <c r="A101" s="2984">
        <v>21</v>
      </c>
      <c r="B101" s="2988" t="s">
        <v>3257</v>
      </c>
      <c r="C101" s="2986">
        <v>30.07</v>
      </c>
      <c r="D101" s="2987" t="s">
        <v>3258</v>
      </c>
    </row>
    <row r="102" spans="1:4">
      <c r="A102" s="2984">
        <v>22</v>
      </c>
      <c r="B102" s="2988" t="s">
        <v>3259</v>
      </c>
      <c r="C102" s="2986">
        <v>30.07</v>
      </c>
      <c r="D102" s="2987" t="s">
        <v>3260</v>
      </c>
    </row>
    <row r="103" spans="1:4">
      <c r="A103" s="2984">
        <v>23</v>
      </c>
      <c r="B103" s="2988" t="s">
        <v>3261</v>
      </c>
      <c r="C103" s="2986">
        <v>30.07</v>
      </c>
      <c r="D103" s="2987" t="s">
        <v>3262</v>
      </c>
    </row>
    <row r="104" spans="1:4">
      <c r="A104" s="2984">
        <v>24</v>
      </c>
      <c r="B104" s="2988" t="s">
        <v>3263</v>
      </c>
      <c r="C104" s="2986">
        <v>30.07</v>
      </c>
      <c r="D104" s="2987" t="s">
        <v>3264</v>
      </c>
    </row>
    <row r="105" spans="1:4">
      <c r="A105" s="2984">
        <v>25</v>
      </c>
      <c r="B105" s="2988" t="s">
        <v>3265</v>
      </c>
      <c r="C105" s="2986">
        <v>30.07</v>
      </c>
      <c r="D105" s="2987" t="s">
        <v>3266</v>
      </c>
    </row>
    <row r="106" spans="1:4">
      <c r="A106" s="2984">
        <v>26</v>
      </c>
      <c r="B106" s="2988" t="s">
        <v>3267</v>
      </c>
      <c r="C106" s="2986">
        <v>30.07</v>
      </c>
      <c r="D106" s="2987" t="s">
        <v>3268</v>
      </c>
    </row>
    <row r="107" spans="1:4">
      <c r="A107" s="2984">
        <v>27</v>
      </c>
      <c r="B107" s="2988" t="s">
        <v>3269</v>
      </c>
      <c r="C107" s="2986">
        <v>30.07</v>
      </c>
      <c r="D107" s="2987" t="s">
        <v>3270</v>
      </c>
    </row>
    <row r="108" spans="1:4">
      <c r="A108" s="2984">
        <v>28</v>
      </c>
      <c r="B108" s="2988" t="s">
        <v>3271</v>
      </c>
      <c r="C108" s="2986">
        <v>30.07</v>
      </c>
      <c r="D108" s="2987" t="s">
        <v>3272</v>
      </c>
    </row>
    <row r="109" spans="1:4">
      <c r="A109" s="2984">
        <v>29</v>
      </c>
      <c r="B109" s="2988" t="s">
        <v>3273</v>
      </c>
      <c r="C109" s="2986">
        <v>23.05</v>
      </c>
      <c r="D109" s="2987" t="s">
        <v>3274</v>
      </c>
    </row>
    <row r="110" spans="1:4">
      <c r="A110" s="2984">
        <v>30</v>
      </c>
      <c r="B110" s="2988" t="s">
        <v>3275</v>
      </c>
      <c r="C110" s="2986">
        <v>31.8</v>
      </c>
      <c r="D110" s="2987" t="s">
        <v>3276</v>
      </c>
    </row>
    <row r="111" spans="1:4">
      <c r="A111" s="2984">
        <v>31</v>
      </c>
      <c r="B111" s="2988" t="s">
        <v>3277</v>
      </c>
      <c r="C111" s="2986">
        <v>33.32</v>
      </c>
      <c r="D111" s="2987" t="s">
        <v>3278</v>
      </c>
    </row>
    <row r="112" spans="1:4">
      <c r="A112" s="2984">
        <v>32</v>
      </c>
      <c r="B112" s="2988" t="s">
        <v>3279</v>
      </c>
      <c r="C112" s="2986">
        <v>30.07</v>
      </c>
      <c r="D112" s="2987" t="s">
        <v>3280</v>
      </c>
    </row>
    <row r="113" spans="1:4">
      <c r="A113" s="2984">
        <v>33</v>
      </c>
      <c r="B113" s="2988" t="s">
        <v>3281</v>
      </c>
      <c r="C113" s="2986">
        <v>30.07</v>
      </c>
      <c r="D113" s="2987" t="s">
        <v>3282</v>
      </c>
    </row>
    <row r="114" spans="1:4">
      <c r="A114" s="2984">
        <v>34</v>
      </c>
      <c r="B114" s="2988" t="s">
        <v>3283</v>
      </c>
      <c r="C114" s="2986">
        <v>30.07</v>
      </c>
      <c r="D114" s="2987" t="s">
        <v>3284</v>
      </c>
    </row>
    <row r="115" spans="1:4">
      <c r="A115" s="2984">
        <v>35</v>
      </c>
      <c r="B115" s="2988" t="s">
        <v>3285</v>
      </c>
      <c r="C115" s="2986">
        <v>30.07</v>
      </c>
      <c r="D115" s="2987" t="s">
        <v>3286</v>
      </c>
    </row>
    <row r="116" spans="1:4">
      <c r="A116" s="2984">
        <v>36</v>
      </c>
      <c r="B116" s="2988" t="s">
        <v>3287</v>
      </c>
      <c r="C116" s="2986">
        <v>30.07</v>
      </c>
      <c r="D116" s="2987" t="s">
        <v>3288</v>
      </c>
    </row>
    <row r="117" spans="1:4">
      <c r="A117" s="2984">
        <v>37</v>
      </c>
      <c r="B117" s="2988" t="s">
        <v>3289</v>
      </c>
      <c r="C117" s="2986">
        <v>30.07</v>
      </c>
      <c r="D117" s="2987" t="s">
        <v>3290</v>
      </c>
    </row>
    <row r="118" spans="1:4">
      <c r="A118" s="2984">
        <v>38</v>
      </c>
      <c r="B118" s="2988" t="s">
        <v>3291</v>
      </c>
      <c r="C118" s="2986">
        <v>30.07</v>
      </c>
      <c r="D118" s="2987" t="s">
        <v>3292</v>
      </c>
    </row>
    <row r="119" spans="1:4">
      <c r="A119" s="2984">
        <v>39</v>
      </c>
      <c r="B119" s="2988" t="s">
        <v>3293</v>
      </c>
      <c r="C119" s="2986">
        <v>30.07</v>
      </c>
      <c r="D119" s="2987" t="s">
        <v>3294</v>
      </c>
    </row>
    <row r="120" spans="1:4">
      <c r="A120" s="2984">
        <v>40</v>
      </c>
      <c r="B120" s="2988" t="s">
        <v>3295</v>
      </c>
      <c r="C120" s="2986">
        <v>30.07</v>
      </c>
      <c r="D120" s="2987" t="s">
        <v>3296</v>
      </c>
    </row>
    <row r="121" spans="1:4">
      <c r="A121" s="2984">
        <v>41</v>
      </c>
      <c r="B121" s="2988" t="s">
        <v>3297</v>
      </c>
      <c r="C121" s="2986">
        <v>30.07</v>
      </c>
      <c r="D121" s="2987" t="s">
        <v>3298</v>
      </c>
    </row>
    <row r="122" spans="1:4">
      <c r="A122" s="2984">
        <v>42</v>
      </c>
      <c r="B122" s="2988" t="s">
        <v>3299</v>
      </c>
      <c r="C122" s="2986">
        <v>30.07</v>
      </c>
      <c r="D122" s="2987" t="s">
        <v>3300</v>
      </c>
    </row>
    <row r="123" spans="1:4">
      <c r="A123" s="2984">
        <v>43</v>
      </c>
      <c r="B123" s="2988" t="s">
        <v>3301</v>
      </c>
      <c r="C123" s="2986">
        <v>22.55</v>
      </c>
      <c r="D123" s="2987" t="s">
        <v>3302</v>
      </c>
    </row>
    <row r="124" spans="1:4">
      <c r="A124" s="2984">
        <v>44</v>
      </c>
      <c r="B124" s="2988" t="s">
        <v>3303</v>
      </c>
      <c r="C124" s="2986">
        <v>20.97</v>
      </c>
      <c r="D124" s="2987" t="s">
        <v>3304</v>
      </c>
    </row>
    <row r="125" spans="1:4">
      <c r="A125" s="2984">
        <v>45</v>
      </c>
      <c r="B125" s="2988" t="s">
        <v>3305</v>
      </c>
      <c r="C125" s="2986">
        <v>21.42</v>
      </c>
      <c r="D125" s="2987" t="s">
        <v>3306</v>
      </c>
    </row>
    <row r="126" spans="1:4">
      <c r="A126" s="2984">
        <v>46</v>
      </c>
      <c r="B126" s="2988" t="s">
        <v>3307</v>
      </c>
      <c r="C126" s="2986">
        <v>22.39</v>
      </c>
      <c r="D126" s="2987" t="s">
        <v>3308</v>
      </c>
    </row>
    <row r="127" spans="1:4">
      <c r="A127" s="2984">
        <v>47</v>
      </c>
      <c r="B127" s="2988" t="s">
        <v>3309</v>
      </c>
      <c r="C127" s="2986">
        <v>22.06</v>
      </c>
      <c r="D127" s="2987" t="s">
        <v>3310</v>
      </c>
    </row>
    <row r="128" spans="1:4">
      <c r="A128" s="2984">
        <v>48</v>
      </c>
      <c r="B128" s="2988" t="s">
        <v>3311</v>
      </c>
      <c r="C128" s="2986">
        <v>23.34</v>
      </c>
      <c r="D128" s="2987" t="s">
        <v>3312</v>
      </c>
    </row>
    <row r="129" spans="1:4">
      <c r="A129" s="2984">
        <v>49</v>
      </c>
      <c r="B129" s="2988" t="s">
        <v>3313</v>
      </c>
      <c r="C129" s="2986">
        <v>31.14</v>
      </c>
      <c r="D129" s="2987" t="s">
        <v>3314</v>
      </c>
    </row>
    <row r="130" spans="1:4">
      <c r="A130" s="2984">
        <v>50</v>
      </c>
      <c r="B130" s="2988" t="s">
        <v>3315</v>
      </c>
      <c r="C130" s="2986">
        <v>31.14</v>
      </c>
      <c r="D130" s="2987" t="s">
        <v>3316</v>
      </c>
    </row>
    <row r="131" spans="1:4">
      <c r="A131" s="2984">
        <v>51</v>
      </c>
      <c r="B131" s="2988" t="s">
        <v>3317</v>
      </c>
      <c r="C131" s="2986">
        <v>31.14</v>
      </c>
      <c r="D131" s="2987" t="s">
        <v>3318</v>
      </c>
    </row>
    <row r="132" spans="1:4">
      <c r="A132" s="2984">
        <v>52</v>
      </c>
      <c r="B132" s="2988" t="s">
        <v>3319</v>
      </c>
      <c r="C132" s="2986">
        <v>31.14</v>
      </c>
      <c r="D132" s="2987" t="s">
        <v>3320</v>
      </c>
    </row>
    <row r="133" spans="1:4">
      <c r="A133" s="2984">
        <v>53</v>
      </c>
      <c r="B133" s="2988" t="s">
        <v>3321</v>
      </c>
      <c r="C133" s="2986">
        <v>31.14</v>
      </c>
      <c r="D133" s="2987" t="s">
        <v>3322</v>
      </c>
    </row>
    <row r="134" spans="1:4">
      <c r="A134" s="2984">
        <v>54</v>
      </c>
      <c r="B134" s="2988" t="s">
        <v>3323</v>
      </c>
      <c r="C134" s="2986">
        <v>31.14</v>
      </c>
      <c r="D134" s="2987" t="s">
        <v>3324</v>
      </c>
    </row>
    <row r="135" spans="1:4">
      <c r="A135" s="2984">
        <v>55</v>
      </c>
      <c r="B135" s="2988" t="s">
        <v>3325</v>
      </c>
      <c r="C135" s="2986">
        <v>31.14</v>
      </c>
      <c r="D135" s="2987" t="s">
        <v>3326</v>
      </c>
    </row>
    <row r="136" spans="1:4">
      <c r="A136" s="2984">
        <v>56</v>
      </c>
      <c r="B136" s="2988" t="s">
        <v>3327</v>
      </c>
      <c r="C136" s="2986">
        <v>31.14</v>
      </c>
      <c r="D136" s="2987" t="s">
        <v>3328</v>
      </c>
    </row>
    <row r="137" spans="1:4">
      <c r="A137" s="2984">
        <v>57</v>
      </c>
      <c r="B137" s="2988" t="s">
        <v>3329</v>
      </c>
      <c r="C137" s="2986">
        <v>31.14</v>
      </c>
      <c r="D137" s="2987" t="s">
        <v>3330</v>
      </c>
    </row>
    <row r="138" spans="1:4">
      <c r="A138" s="2984">
        <v>58</v>
      </c>
      <c r="B138" s="2988" t="s">
        <v>3331</v>
      </c>
      <c r="C138" s="2986">
        <v>31.14</v>
      </c>
      <c r="D138" s="2987" t="s">
        <v>3332</v>
      </c>
    </row>
    <row r="139" spans="1:4">
      <c r="A139" s="2984">
        <v>59</v>
      </c>
      <c r="B139" s="2988" t="s">
        <v>3333</v>
      </c>
      <c r="C139" s="2986">
        <v>31.14</v>
      </c>
      <c r="D139" s="2987" t="s">
        <v>3334</v>
      </c>
    </row>
    <row r="140" spans="1:4">
      <c r="A140" s="2984">
        <v>60</v>
      </c>
      <c r="B140" s="2988" t="s">
        <v>3335</v>
      </c>
      <c r="C140" s="2986">
        <v>34.51</v>
      </c>
      <c r="D140" s="2987" t="s">
        <v>3336</v>
      </c>
    </row>
    <row r="141" spans="1:4">
      <c r="A141" s="2984">
        <v>61</v>
      </c>
      <c r="B141" s="2988" t="s">
        <v>3337</v>
      </c>
      <c r="C141" s="2986">
        <v>31.85</v>
      </c>
      <c r="D141" s="2987" t="s">
        <v>3338</v>
      </c>
    </row>
    <row r="142" spans="1:4">
      <c r="A142" s="2984">
        <v>62</v>
      </c>
      <c r="B142" s="2988" t="s">
        <v>3339</v>
      </c>
      <c r="C142" s="2986">
        <v>23.29</v>
      </c>
      <c r="D142" s="2987" t="s">
        <v>3340</v>
      </c>
    </row>
    <row r="143" spans="1:4">
      <c r="A143" s="2984">
        <v>63</v>
      </c>
      <c r="B143" s="2988" t="s">
        <v>3341</v>
      </c>
      <c r="C143" s="2986">
        <v>30.22</v>
      </c>
      <c r="D143" s="2987" t="s">
        <v>3342</v>
      </c>
    </row>
    <row r="144" spans="1:4">
      <c r="A144" s="2984">
        <v>64</v>
      </c>
      <c r="B144" s="2988" t="s">
        <v>3343</v>
      </c>
      <c r="C144" s="2986">
        <v>30.22</v>
      </c>
      <c r="D144" s="2987" t="s">
        <v>3344</v>
      </c>
    </row>
    <row r="145" spans="1:4">
      <c r="A145" s="2984">
        <v>65</v>
      </c>
      <c r="B145" s="2988" t="s">
        <v>3345</v>
      </c>
      <c r="C145" s="2986">
        <v>30.22</v>
      </c>
      <c r="D145" s="2987" t="s">
        <v>3346</v>
      </c>
    </row>
    <row r="146" spans="1:4">
      <c r="A146" s="2984">
        <v>66</v>
      </c>
      <c r="B146" s="2988" t="s">
        <v>3347</v>
      </c>
      <c r="C146" s="2986">
        <v>30.22</v>
      </c>
      <c r="D146" s="2987" t="s">
        <v>3348</v>
      </c>
    </row>
    <row r="147" spans="1:4">
      <c r="A147" s="2984">
        <v>67</v>
      </c>
      <c r="B147" s="2988" t="s">
        <v>3349</v>
      </c>
      <c r="C147" s="2986">
        <v>30.22</v>
      </c>
      <c r="D147" s="2987" t="s">
        <v>3350</v>
      </c>
    </row>
    <row r="148" spans="1:4">
      <c r="A148" s="2984">
        <v>68</v>
      </c>
      <c r="B148" s="2988" t="s">
        <v>3351</v>
      </c>
      <c r="C148" s="2986">
        <v>30.22</v>
      </c>
      <c r="D148" s="2987" t="s">
        <v>3352</v>
      </c>
    </row>
    <row r="149" spans="1:4">
      <c r="A149" s="2984">
        <v>69</v>
      </c>
      <c r="B149" s="2988" t="s">
        <v>3353</v>
      </c>
      <c r="C149" s="2986">
        <v>30.22</v>
      </c>
      <c r="D149" s="2987" t="s">
        <v>3354</v>
      </c>
    </row>
    <row r="150" spans="1:4">
      <c r="A150" s="2984">
        <v>70</v>
      </c>
      <c r="B150" s="2988" t="s">
        <v>3355</v>
      </c>
      <c r="C150" s="2986">
        <v>30.22</v>
      </c>
      <c r="D150" s="2987" t="s">
        <v>3356</v>
      </c>
    </row>
    <row r="151" spans="1:4">
      <c r="A151" s="2984">
        <v>71</v>
      </c>
      <c r="B151" s="2988" t="s">
        <v>3357</v>
      </c>
      <c r="C151" s="2986">
        <v>30.22</v>
      </c>
      <c r="D151" s="2987" t="s">
        <v>3358</v>
      </c>
    </row>
    <row r="152" spans="1:4">
      <c r="A152" s="2984">
        <v>72</v>
      </c>
      <c r="B152" s="2988" t="s">
        <v>3359</v>
      </c>
      <c r="C152" s="2986">
        <v>28.2</v>
      </c>
      <c r="D152" s="2987" t="s">
        <v>3360</v>
      </c>
    </row>
    <row r="153" spans="1:4">
      <c r="A153" s="2984">
        <v>73</v>
      </c>
      <c r="B153" s="2988" t="s">
        <v>3361</v>
      </c>
      <c r="C153" s="2986">
        <v>26.94</v>
      </c>
      <c r="D153" s="2987" t="s">
        <v>3362</v>
      </c>
    </row>
    <row r="154" spans="1:4">
      <c r="A154" s="2984">
        <v>74</v>
      </c>
      <c r="B154" s="2988" t="s">
        <v>3363</v>
      </c>
      <c r="C154" s="2986">
        <v>28.56</v>
      </c>
      <c r="D154" s="2987" t="s">
        <v>3364</v>
      </c>
    </row>
    <row r="155" spans="1:4">
      <c r="A155" s="2984">
        <v>75</v>
      </c>
      <c r="B155" s="2988" t="s">
        <v>3365</v>
      </c>
      <c r="C155" s="2986">
        <v>29.91</v>
      </c>
      <c r="D155" s="2987" t="s">
        <v>3366</v>
      </c>
    </row>
    <row r="156" spans="1:4">
      <c r="A156" s="2984">
        <v>76</v>
      </c>
      <c r="B156" s="2988" t="s">
        <v>3367</v>
      </c>
      <c r="C156" s="2986">
        <v>32.04</v>
      </c>
      <c r="D156" s="2987" t="s">
        <v>3368</v>
      </c>
    </row>
    <row r="157" spans="1:4">
      <c r="A157" s="2984">
        <v>77</v>
      </c>
      <c r="B157" s="2988" t="s">
        <v>3369</v>
      </c>
      <c r="C157" s="2986">
        <v>32.04</v>
      </c>
      <c r="D157" s="2987" t="s">
        <v>3370</v>
      </c>
    </row>
    <row r="158" spans="1:4">
      <c r="A158" s="2984">
        <v>78</v>
      </c>
      <c r="B158" s="2988" t="s">
        <v>3371</v>
      </c>
      <c r="C158" s="2986">
        <v>32.04</v>
      </c>
      <c r="D158" s="2987" t="s">
        <v>3372</v>
      </c>
    </row>
    <row r="159" spans="1:4">
      <c r="A159" s="2984">
        <v>79</v>
      </c>
      <c r="B159" s="2988" t="s">
        <v>3373</v>
      </c>
      <c r="C159" s="2986">
        <v>32.04</v>
      </c>
      <c r="D159" s="2987" t="s">
        <v>3374</v>
      </c>
    </row>
    <row r="160" spans="1:4">
      <c r="A160" s="2984">
        <v>80</v>
      </c>
      <c r="B160" s="2988" t="s">
        <v>3375</v>
      </c>
      <c r="C160" s="2986">
        <v>32.04</v>
      </c>
      <c r="D160" s="2987" t="s">
        <v>3376</v>
      </c>
    </row>
    <row r="161" spans="1:4">
      <c r="A161" s="2984">
        <v>81</v>
      </c>
      <c r="B161" s="2988" t="s">
        <v>3377</v>
      </c>
      <c r="C161" s="2986">
        <v>32.04</v>
      </c>
      <c r="D161" s="2987" t="s">
        <v>3378</v>
      </c>
    </row>
    <row r="162" spans="1:4">
      <c r="A162" s="2984">
        <v>82</v>
      </c>
      <c r="B162" s="2988" t="s">
        <v>3379</v>
      </c>
      <c r="C162" s="2986">
        <v>32.04</v>
      </c>
      <c r="D162" s="2987" t="s">
        <v>3380</v>
      </c>
    </row>
    <row r="163" spans="1:4">
      <c r="A163" s="2984">
        <v>83</v>
      </c>
      <c r="B163" s="2988" t="s">
        <v>3381</v>
      </c>
      <c r="C163" s="2986">
        <v>32.04</v>
      </c>
      <c r="D163" s="2987" t="s">
        <v>3382</v>
      </c>
    </row>
    <row r="164" spans="1:4">
      <c r="A164" s="2984">
        <v>84</v>
      </c>
      <c r="B164" s="2988" t="s">
        <v>3383</v>
      </c>
      <c r="C164" s="2986">
        <v>32.04</v>
      </c>
      <c r="D164" s="2987" t="s">
        <v>3384</v>
      </c>
    </row>
    <row r="165" spans="1:4">
      <c r="A165" s="2984">
        <v>85</v>
      </c>
      <c r="B165" s="2988" t="s">
        <v>3385</v>
      </c>
      <c r="C165" s="2986">
        <v>24.69</v>
      </c>
      <c r="D165" s="2987" t="s">
        <v>3386</v>
      </c>
    </row>
    <row r="166" spans="1:4">
      <c r="A166" s="2984">
        <v>86</v>
      </c>
      <c r="B166" s="2988" t="s">
        <v>3387</v>
      </c>
      <c r="C166" s="2986">
        <v>33.770000000000003</v>
      </c>
      <c r="D166" s="2987" t="s">
        <v>3388</v>
      </c>
    </row>
    <row r="167" spans="1:4">
      <c r="A167" s="2984">
        <v>87</v>
      </c>
      <c r="B167" s="2988" t="s">
        <v>3389</v>
      </c>
      <c r="C167" s="2986">
        <v>34.51</v>
      </c>
      <c r="D167" s="2987" t="s">
        <v>3390</v>
      </c>
    </row>
    <row r="168" spans="1:4">
      <c r="A168" s="2984">
        <v>88</v>
      </c>
      <c r="B168" s="2988" t="s">
        <v>3391</v>
      </c>
      <c r="C168" s="2986">
        <v>31.14</v>
      </c>
      <c r="D168" s="2987" t="s">
        <v>3392</v>
      </c>
    </row>
    <row r="169" spans="1:4">
      <c r="A169" s="2984">
        <v>89</v>
      </c>
      <c r="B169" s="2988" t="s">
        <v>3393</v>
      </c>
      <c r="C169" s="2986">
        <v>31.14</v>
      </c>
      <c r="D169" s="2987" t="s">
        <v>3394</v>
      </c>
    </row>
    <row r="170" spans="1:4">
      <c r="A170" s="2984">
        <v>90</v>
      </c>
      <c r="B170" s="2988" t="s">
        <v>3395</v>
      </c>
      <c r="C170" s="2986">
        <v>31.14</v>
      </c>
      <c r="D170" s="2987" t="s">
        <v>3396</v>
      </c>
    </row>
    <row r="171" spans="1:4">
      <c r="A171" s="2984">
        <v>91</v>
      </c>
      <c r="B171" s="2988" t="s">
        <v>3397</v>
      </c>
      <c r="C171" s="2986">
        <v>31.14</v>
      </c>
      <c r="D171" s="2987" t="s">
        <v>3398</v>
      </c>
    </row>
    <row r="172" spans="1:4">
      <c r="A172" s="2984">
        <v>92</v>
      </c>
      <c r="B172" s="2988" t="s">
        <v>3399</v>
      </c>
      <c r="C172" s="2986">
        <v>31.14</v>
      </c>
      <c r="D172" s="2987" t="s">
        <v>3400</v>
      </c>
    </row>
    <row r="173" spans="1:4">
      <c r="A173" s="2984">
        <v>93</v>
      </c>
      <c r="B173" s="2988" t="s">
        <v>3401</v>
      </c>
      <c r="C173" s="2986">
        <v>31.14</v>
      </c>
      <c r="D173" s="2987" t="s">
        <v>3402</v>
      </c>
    </row>
    <row r="174" spans="1:4">
      <c r="A174" s="2984">
        <v>94</v>
      </c>
      <c r="B174" s="2988" t="s">
        <v>3403</v>
      </c>
      <c r="C174" s="2986">
        <v>31.14</v>
      </c>
      <c r="D174" s="2987" t="s">
        <v>3404</v>
      </c>
    </row>
    <row r="175" spans="1:4">
      <c r="A175" s="2984">
        <v>95</v>
      </c>
      <c r="B175" s="2988" t="s">
        <v>3405</v>
      </c>
      <c r="C175" s="2986">
        <v>31.14</v>
      </c>
      <c r="D175" s="2987" t="s">
        <v>3406</v>
      </c>
    </row>
    <row r="176" spans="1:4">
      <c r="A176" s="2984">
        <v>96</v>
      </c>
      <c r="B176" s="2988" t="s">
        <v>3407</v>
      </c>
      <c r="C176" s="2986">
        <v>31.14</v>
      </c>
      <c r="D176" s="2987" t="s">
        <v>3408</v>
      </c>
    </row>
    <row r="177" spans="1:4">
      <c r="A177" s="2984">
        <v>97</v>
      </c>
      <c r="B177" s="2988" t="s">
        <v>3409</v>
      </c>
      <c r="C177" s="2986">
        <v>31.14</v>
      </c>
      <c r="D177" s="2987" t="s">
        <v>3410</v>
      </c>
    </row>
    <row r="178" spans="1:4">
      <c r="A178" s="2984">
        <v>98</v>
      </c>
      <c r="B178" s="2988" t="s">
        <v>3411</v>
      </c>
      <c r="C178" s="2986">
        <v>31.14</v>
      </c>
      <c r="D178" s="2987" t="s">
        <v>3412</v>
      </c>
    </row>
    <row r="179" spans="1:4">
      <c r="A179" s="2984">
        <v>99</v>
      </c>
      <c r="B179" s="2988" t="s">
        <v>3413</v>
      </c>
      <c r="C179" s="2986">
        <v>23.34</v>
      </c>
      <c r="D179" s="2987" t="s">
        <v>3414</v>
      </c>
    </row>
    <row r="180" spans="1:4">
      <c r="A180" s="2984">
        <v>100</v>
      </c>
      <c r="B180" s="2988" t="s">
        <v>3415</v>
      </c>
      <c r="C180" s="2986">
        <v>19.07</v>
      </c>
      <c r="D180" s="2987" t="s">
        <v>3416</v>
      </c>
    </row>
    <row r="181" spans="1:4">
      <c r="A181" s="2984">
        <v>101</v>
      </c>
      <c r="B181" s="2988" t="s">
        <v>3417</v>
      </c>
      <c r="C181" s="2986">
        <v>25.45</v>
      </c>
      <c r="D181" s="2987" t="s">
        <v>3418</v>
      </c>
    </row>
    <row r="182" spans="1:4">
      <c r="A182" s="2984">
        <v>102</v>
      </c>
      <c r="B182" s="2988" t="s">
        <v>3419</v>
      </c>
      <c r="C182" s="2986">
        <v>25.45</v>
      </c>
      <c r="D182" s="2987" t="s">
        <v>3420</v>
      </c>
    </row>
    <row r="183" spans="1:4">
      <c r="A183" s="2984">
        <v>103</v>
      </c>
      <c r="B183" s="2988" t="s">
        <v>3421</v>
      </c>
      <c r="C183" s="2986">
        <v>25.45</v>
      </c>
      <c r="D183" s="2987" t="s">
        <v>3422</v>
      </c>
    </row>
    <row r="184" spans="1:4">
      <c r="A184" s="2984">
        <v>104</v>
      </c>
      <c r="B184" s="2988" t="s">
        <v>3423</v>
      </c>
      <c r="C184" s="2986">
        <v>25.45</v>
      </c>
      <c r="D184" s="2987" t="s">
        <v>3424</v>
      </c>
    </row>
    <row r="185" spans="1:4">
      <c r="A185" s="2984">
        <v>105</v>
      </c>
      <c r="B185" s="2988" t="s">
        <v>3425</v>
      </c>
      <c r="C185" s="2986">
        <v>25.45</v>
      </c>
      <c r="D185" s="2987" t="s">
        <v>3426</v>
      </c>
    </row>
    <row r="186" spans="1:4">
      <c r="A186" s="2984">
        <v>106</v>
      </c>
      <c r="B186" s="2988" t="s">
        <v>3427</v>
      </c>
      <c r="C186" s="2986">
        <v>25.45</v>
      </c>
      <c r="D186" s="2987" t="s">
        <v>3428</v>
      </c>
    </row>
    <row r="187" spans="1:4">
      <c r="A187" s="2984">
        <v>107</v>
      </c>
      <c r="B187" s="2988" t="s">
        <v>3429</v>
      </c>
      <c r="C187" s="2986">
        <v>25.45</v>
      </c>
      <c r="D187" s="2987" t="s">
        <v>3430</v>
      </c>
    </row>
    <row r="188" spans="1:4">
      <c r="A188" s="2984">
        <v>108</v>
      </c>
      <c r="B188" s="2988" t="s">
        <v>3431</v>
      </c>
      <c r="C188" s="2986">
        <v>25.45</v>
      </c>
      <c r="D188" s="2987" t="s">
        <v>3432</v>
      </c>
    </row>
    <row r="189" spans="1:4">
      <c r="A189" s="2984">
        <v>109</v>
      </c>
      <c r="B189" s="2988" t="s">
        <v>3433</v>
      </c>
      <c r="C189" s="2986">
        <v>25.45</v>
      </c>
      <c r="D189" s="2987" t="s">
        <v>3434</v>
      </c>
    </row>
    <row r="190" spans="1:4">
      <c r="A190" s="2984">
        <v>110</v>
      </c>
      <c r="B190" s="2988" t="s">
        <v>3435</v>
      </c>
      <c r="C190" s="2986">
        <v>25.45</v>
      </c>
      <c r="D190" s="2987" t="s">
        <v>3436</v>
      </c>
    </row>
    <row r="191" spans="1:4">
      <c r="A191" s="2984">
        <v>111</v>
      </c>
      <c r="B191" s="2988" t="s">
        <v>3437</v>
      </c>
      <c r="C191" s="2986">
        <v>25.45</v>
      </c>
      <c r="D191" s="2987" t="s">
        <v>3438</v>
      </c>
    </row>
    <row r="192" spans="1:4">
      <c r="A192" s="2984">
        <v>112</v>
      </c>
      <c r="B192" s="2988" t="s">
        <v>3439</v>
      </c>
      <c r="C192" s="2986">
        <v>28.2</v>
      </c>
      <c r="D192" s="2987" t="s">
        <v>3440</v>
      </c>
    </row>
    <row r="193" spans="1:4">
      <c r="A193" s="2984">
        <v>113</v>
      </c>
      <c r="B193" s="2988" t="s">
        <v>3441</v>
      </c>
      <c r="C193" s="2986">
        <v>26.82</v>
      </c>
      <c r="D193" s="2987" t="s">
        <v>3442</v>
      </c>
    </row>
    <row r="194" spans="1:4">
      <c r="A194" s="2984">
        <v>114</v>
      </c>
      <c r="B194" s="2988" t="s">
        <v>3443</v>
      </c>
      <c r="C194" s="2986">
        <v>19.61</v>
      </c>
      <c r="D194" s="2987" t="s">
        <v>3444</v>
      </c>
    </row>
    <row r="195" spans="1:4">
      <c r="A195" s="2984">
        <v>115</v>
      </c>
      <c r="B195" s="2988" t="s">
        <v>3445</v>
      </c>
      <c r="C195" s="2986">
        <v>25.45</v>
      </c>
      <c r="D195" s="2987" t="s">
        <v>3446</v>
      </c>
    </row>
    <row r="196" spans="1:4">
      <c r="A196" s="2984">
        <v>116</v>
      </c>
      <c r="B196" s="2988" t="s">
        <v>3447</v>
      </c>
      <c r="C196" s="2986">
        <v>25.45</v>
      </c>
      <c r="D196" s="2987" t="s">
        <v>3448</v>
      </c>
    </row>
    <row r="197" spans="1:4">
      <c r="A197" s="2984">
        <v>117</v>
      </c>
      <c r="B197" s="2988" t="s">
        <v>3449</v>
      </c>
      <c r="C197" s="2986">
        <v>25.45</v>
      </c>
      <c r="D197" s="2987" t="s">
        <v>3450</v>
      </c>
    </row>
    <row r="198" spans="1:4">
      <c r="A198" s="2984">
        <v>118</v>
      </c>
      <c r="B198" s="2988" t="s">
        <v>3451</v>
      </c>
      <c r="C198" s="2986">
        <v>25.45</v>
      </c>
      <c r="D198" s="2987" t="s">
        <v>3452</v>
      </c>
    </row>
    <row r="199" spans="1:4">
      <c r="A199" s="2984">
        <v>119</v>
      </c>
      <c r="B199" s="2988" t="s">
        <v>3453</v>
      </c>
      <c r="C199" s="2986">
        <v>25.45</v>
      </c>
      <c r="D199" s="2987" t="s">
        <v>3454</v>
      </c>
    </row>
    <row r="200" spans="1:4">
      <c r="A200" s="2984">
        <v>120</v>
      </c>
      <c r="B200" s="2988" t="s">
        <v>3455</v>
      </c>
      <c r="C200" s="2986">
        <v>25.45</v>
      </c>
      <c r="D200" s="2987" t="s">
        <v>3456</v>
      </c>
    </row>
    <row r="201" spans="1:4">
      <c r="A201" s="2984">
        <v>121</v>
      </c>
      <c r="B201" s="2988" t="s">
        <v>3457</v>
      </c>
      <c r="C201" s="2986">
        <v>25.45</v>
      </c>
      <c r="D201" s="2987" t="s">
        <v>3458</v>
      </c>
    </row>
    <row r="202" spans="1:4">
      <c r="A202" s="2984">
        <v>122</v>
      </c>
      <c r="B202" s="2988" t="s">
        <v>3459</v>
      </c>
      <c r="C202" s="2986">
        <v>25.45</v>
      </c>
      <c r="D202" s="2987" t="s">
        <v>3460</v>
      </c>
    </row>
    <row r="203" spans="1:4">
      <c r="A203" s="2984">
        <v>123</v>
      </c>
      <c r="B203" s="2988" t="s">
        <v>3461</v>
      </c>
      <c r="C203" s="2986">
        <v>25.45</v>
      </c>
      <c r="D203" s="2987" t="s">
        <v>3462</v>
      </c>
    </row>
    <row r="204" spans="1:4">
      <c r="A204" s="2984">
        <v>124</v>
      </c>
      <c r="B204" s="2988" t="s">
        <v>3463</v>
      </c>
      <c r="C204" s="2986">
        <v>23.74</v>
      </c>
      <c r="D204" s="2987" t="s">
        <v>3464</v>
      </c>
    </row>
    <row r="205" spans="1:4">
      <c r="A205" s="2984">
        <v>125</v>
      </c>
      <c r="B205" s="2988" t="s">
        <v>3465</v>
      </c>
      <c r="C205" s="2986">
        <v>22.67</v>
      </c>
      <c r="D205" s="2987" t="s">
        <v>3466</v>
      </c>
    </row>
    <row r="206" spans="1:4">
      <c r="A206" s="2984">
        <v>126</v>
      </c>
      <c r="B206" s="2988" t="s">
        <v>3467</v>
      </c>
      <c r="C206" s="2986">
        <v>22.67</v>
      </c>
      <c r="D206" s="2987" t="s">
        <v>3468</v>
      </c>
    </row>
    <row r="207" spans="1:4">
      <c r="A207" s="2984">
        <v>127</v>
      </c>
      <c r="B207" s="2988" t="s">
        <v>3469</v>
      </c>
      <c r="C207" s="2986">
        <v>23.74</v>
      </c>
      <c r="D207" s="2987" t="s">
        <v>3470</v>
      </c>
    </row>
    <row r="208" spans="1:4">
      <c r="A208" s="2984">
        <v>128</v>
      </c>
      <c r="B208" s="2988" t="s">
        <v>3471</v>
      </c>
      <c r="C208" s="2986">
        <v>25.45</v>
      </c>
      <c r="D208" s="2987" t="s">
        <v>3472</v>
      </c>
    </row>
    <row r="209" spans="1:4">
      <c r="A209" s="2984">
        <v>129</v>
      </c>
      <c r="B209" s="2988" t="s">
        <v>3473</v>
      </c>
      <c r="C209" s="2986">
        <v>25.45</v>
      </c>
      <c r="D209" s="2987" t="s">
        <v>3474</v>
      </c>
    </row>
    <row r="210" spans="1:4">
      <c r="A210" s="2984">
        <v>130</v>
      </c>
      <c r="B210" s="2988" t="s">
        <v>3475</v>
      </c>
      <c r="C210" s="2986">
        <v>25.45</v>
      </c>
      <c r="D210" s="2987" t="s">
        <v>3476</v>
      </c>
    </row>
    <row r="211" spans="1:4">
      <c r="A211" s="2984">
        <v>131</v>
      </c>
      <c r="B211" s="2988" t="s">
        <v>3477</v>
      </c>
      <c r="C211" s="2986">
        <v>25.45</v>
      </c>
      <c r="D211" s="2987" t="s">
        <v>3478</v>
      </c>
    </row>
    <row r="212" spans="1:4">
      <c r="A212" s="2984">
        <v>132</v>
      </c>
      <c r="B212" s="2988" t="s">
        <v>3479</v>
      </c>
      <c r="C212" s="2986">
        <v>25.45</v>
      </c>
      <c r="D212" s="2987" t="s">
        <v>3480</v>
      </c>
    </row>
    <row r="213" spans="1:4">
      <c r="A213" s="2984">
        <v>133</v>
      </c>
      <c r="B213" s="2988" t="s">
        <v>3481</v>
      </c>
      <c r="C213" s="2986">
        <v>25.45</v>
      </c>
      <c r="D213" s="2987" t="s">
        <v>3482</v>
      </c>
    </row>
    <row r="214" spans="1:4">
      <c r="A214" s="2984">
        <v>134</v>
      </c>
      <c r="B214" s="2988" t="s">
        <v>3483</v>
      </c>
      <c r="C214" s="2986">
        <v>25.45</v>
      </c>
      <c r="D214" s="2987" t="s">
        <v>3484</v>
      </c>
    </row>
    <row r="215" spans="1:4">
      <c r="A215" s="2984">
        <v>135</v>
      </c>
      <c r="B215" s="2988" t="s">
        <v>3485</v>
      </c>
      <c r="C215" s="2986">
        <v>25.45</v>
      </c>
      <c r="D215" s="2987" t="s">
        <v>3486</v>
      </c>
    </row>
    <row r="216" spans="1:4">
      <c r="A216" s="2984">
        <v>136</v>
      </c>
      <c r="B216" s="2988" t="s">
        <v>3487</v>
      </c>
      <c r="C216" s="2986">
        <v>25.45</v>
      </c>
      <c r="D216" s="2987" t="s">
        <v>3488</v>
      </c>
    </row>
    <row r="217" spans="1:4">
      <c r="A217" s="2984">
        <v>137</v>
      </c>
      <c r="B217" s="2988" t="s">
        <v>3489</v>
      </c>
      <c r="C217" s="2986">
        <v>19.61</v>
      </c>
      <c r="D217" s="2987" t="s">
        <v>3490</v>
      </c>
    </row>
    <row r="218" spans="1:4">
      <c r="A218" s="2984">
        <v>138</v>
      </c>
      <c r="B218" s="2988" t="s">
        <v>3491</v>
      </c>
      <c r="C218" s="2986">
        <v>26.82</v>
      </c>
      <c r="D218" s="2987" t="s">
        <v>3492</v>
      </c>
    </row>
    <row r="219" spans="1:4">
      <c r="A219" s="2984">
        <v>139</v>
      </c>
      <c r="B219" s="2988" t="s">
        <v>3493</v>
      </c>
      <c r="C219" s="2986">
        <v>28.2</v>
      </c>
      <c r="D219" s="2987" t="s">
        <v>3494</v>
      </c>
    </row>
    <row r="220" spans="1:4">
      <c r="A220" s="2984">
        <v>140</v>
      </c>
      <c r="B220" s="2988" t="s">
        <v>3495</v>
      </c>
      <c r="C220" s="2986">
        <v>25.45</v>
      </c>
      <c r="D220" s="2987" t="s">
        <v>3496</v>
      </c>
    </row>
    <row r="221" spans="1:4">
      <c r="A221" s="2984">
        <v>141</v>
      </c>
      <c r="B221" s="2988" t="s">
        <v>3497</v>
      </c>
      <c r="C221" s="2986">
        <v>25.45</v>
      </c>
      <c r="D221" s="2987" t="s">
        <v>3498</v>
      </c>
    </row>
    <row r="222" spans="1:4">
      <c r="A222" s="2984">
        <v>142</v>
      </c>
      <c r="B222" s="2988" t="s">
        <v>3499</v>
      </c>
      <c r="C222" s="2986">
        <v>25.45</v>
      </c>
      <c r="D222" s="2987" t="s">
        <v>3500</v>
      </c>
    </row>
    <row r="223" spans="1:4">
      <c r="A223" s="2984">
        <v>143</v>
      </c>
      <c r="B223" s="2988" t="s">
        <v>3501</v>
      </c>
      <c r="C223" s="2986">
        <v>25.45</v>
      </c>
      <c r="D223" s="2987" t="s">
        <v>3502</v>
      </c>
    </row>
    <row r="224" spans="1:4">
      <c r="A224" s="2984">
        <v>144</v>
      </c>
      <c r="B224" s="2988" t="s">
        <v>3503</v>
      </c>
      <c r="C224" s="2986">
        <v>25.45</v>
      </c>
      <c r="D224" s="2987" t="s">
        <v>3504</v>
      </c>
    </row>
    <row r="225" spans="1:4">
      <c r="A225" s="2984">
        <v>145</v>
      </c>
      <c r="B225" s="2988" t="s">
        <v>3505</v>
      </c>
      <c r="C225" s="2986">
        <v>25.45</v>
      </c>
      <c r="D225" s="2987" t="s">
        <v>3506</v>
      </c>
    </row>
    <row r="226" spans="1:4">
      <c r="A226" s="2984">
        <v>146</v>
      </c>
      <c r="B226" s="2988" t="s">
        <v>3507</v>
      </c>
      <c r="C226" s="2986">
        <v>25.45</v>
      </c>
      <c r="D226" s="2987" t="s">
        <v>3508</v>
      </c>
    </row>
    <row r="227" spans="1:4">
      <c r="A227" s="2984">
        <v>147</v>
      </c>
      <c r="B227" s="2988" t="s">
        <v>3509</v>
      </c>
      <c r="C227" s="2986">
        <v>25.45</v>
      </c>
      <c r="D227" s="2987" t="s">
        <v>3510</v>
      </c>
    </row>
    <row r="228" spans="1:4">
      <c r="A228" s="2984">
        <v>148</v>
      </c>
      <c r="B228" s="2988" t="s">
        <v>3511</v>
      </c>
      <c r="C228" s="2986">
        <v>25.45</v>
      </c>
      <c r="D228" s="2987" t="s">
        <v>3512</v>
      </c>
    </row>
    <row r="229" spans="1:4">
      <c r="A229" s="2984">
        <v>149</v>
      </c>
      <c r="B229" s="2988" t="s">
        <v>3513</v>
      </c>
      <c r="C229" s="2986">
        <v>25.45</v>
      </c>
      <c r="D229" s="2987" t="s">
        <v>3514</v>
      </c>
    </row>
    <row r="230" spans="1:4">
      <c r="A230" s="2984">
        <v>150</v>
      </c>
      <c r="B230" s="2988" t="s">
        <v>3515</v>
      </c>
      <c r="C230" s="2986">
        <v>25.45</v>
      </c>
      <c r="D230" s="2987" t="s">
        <v>3516</v>
      </c>
    </row>
    <row r="231" spans="1:4">
      <c r="A231" s="2984">
        <v>151</v>
      </c>
      <c r="B231" s="2988" t="s">
        <v>3517</v>
      </c>
      <c r="C231" s="2986">
        <v>19.07</v>
      </c>
      <c r="D231" s="2987" t="s">
        <v>3518</v>
      </c>
    </row>
    <row r="232" spans="1:4">
      <c r="A232" s="2984">
        <v>152</v>
      </c>
      <c r="B232" s="2988" t="s">
        <v>3519</v>
      </c>
      <c r="C232" s="2986">
        <v>20.28</v>
      </c>
      <c r="D232" s="2987" t="s">
        <v>3520</v>
      </c>
    </row>
    <row r="233" spans="1:4">
      <c r="A233" s="2984">
        <v>153</v>
      </c>
      <c r="B233" s="2988" t="s">
        <v>3521</v>
      </c>
      <c r="C233" s="2986">
        <v>19.829999999999998</v>
      </c>
      <c r="D233" s="2987" t="s">
        <v>3522</v>
      </c>
    </row>
    <row r="234" spans="1:4">
      <c r="A234" s="2984">
        <v>154</v>
      </c>
      <c r="B234" s="2988" t="s">
        <v>3523</v>
      </c>
      <c r="C234" s="2986">
        <v>19.829999999999998</v>
      </c>
      <c r="D234" s="2987" t="s">
        <v>3524</v>
      </c>
    </row>
    <row r="235" spans="1:4">
      <c r="A235" s="2984">
        <v>155</v>
      </c>
      <c r="B235" s="2988" t="s">
        <v>3525</v>
      </c>
      <c r="C235" s="2986">
        <v>19.28</v>
      </c>
      <c r="D235" s="2987" t="s">
        <v>3526</v>
      </c>
    </row>
    <row r="236" spans="1:4">
      <c r="A236" s="2984">
        <v>156</v>
      </c>
      <c r="B236" s="2988" t="s">
        <v>3527</v>
      </c>
      <c r="C236" s="2986">
        <v>28.48</v>
      </c>
      <c r="D236" s="2987" t="s">
        <v>3528</v>
      </c>
    </row>
    <row r="237" spans="1:4">
      <c r="A237" s="2984">
        <v>157</v>
      </c>
      <c r="B237" s="2988" t="s">
        <v>3529</v>
      </c>
      <c r="C237" s="2986">
        <v>35.409999999999997</v>
      </c>
      <c r="D237" s="2987" t="s">
        <v>3530</v>
      </c>
    </row>
    <row r="238" spans="1:4">
      <c r="A238" s="2984">
        <v>158</v>
      </c>
      <c r="B238" s="2988" t="s">
        <v>3531</v>
      </c>
      <c r="C238" s="2986">
        <v>34.29</v>
      </c>
      <c r="D238" s="2987" t="s">
        <v>3532</v>
      </c>
    </row>
    <row r="239" spans="1:4">
      <c r="A239" s="2984">
        <v>159</v>
      </c>
      <c r="B239" s="2988" t="s">
        <v>3533</v>
      </c>
      <c r="C239" s="2986">
        <v>36.78</v>
      </c>
      <c r="D239" s="2987" t="s">
        <v>3534</v>
      </c>
    </row>
    <row r="240" spans="1:4">
      <c r="A240" s="2984">
        <v>160</v>
      </c>
      <c r="B240" s="2988" t="s">
        <v>3535</v>
      </c>
      <c r="C240" s="2986">
        <v>36.5</v>
      </c>
      <c r="D240" s="2987" t="s">
        <v>3536</v>
      </c>
    </row>
    <row r="241" spans="1:4">
      <c r="A241" s="2984">
        <v>161</v>
      </c>
      <c r="B241" s="2988" t="s">
        <v>3537</v>
      </c>
      <c r="C241" s="2986">
        <v>33.200000000000003</v>
      </c>
      <c r="D241" s="2987" t="s">
        <v>3538</v>
      </c>
    </row>
    <row r="242" spans="1:4">
      <c r="A242" s="2984">
        <v>162</v>
      </c>
      <c r="B242" s="2988" t="s">
        <v>3539</v>
      </c>
      <c r="C242" s="2986">
        <v>33.200000000000003</v>
      </c>
      <c r="D242" s="2987" t="s">
        <v>3540</v>
      </c>
    </row>
    <row r="243" spans="1:4">
      <c r="A243" s="2984">
        <v>163</v>
      </c>
      <c r="B243" s="2988" t="s">
        <v>3541</v>
      </c>
      <c r="C243" s="2986">
        <v>24.9</v>
      </c>
      <c r="D243" s="2987" t="s">
        <v>3542</v>
      </c>
    </row>
    <row r="244" spans="1:4">
      <c r="A244" s="2984">
        <v>164</v>
      </c>
      <c r="B244" s="2988" t="s">
        <v>3543</v>
      </c>
      <c r="C244" s="2986">
        <v>24.9</v>
      </c>
      <c r="D244" s="2987" t="s">
        <v>3544</v>
      </c>
    </row>
    <row r="245" spans="1:4">
      <c r="A245" s="2984">
        <v>165</v>
      </c>
      <c r="B245" s="2988" t="s">
        <v>3545</v>
      </c>
      <c r="C245" s="2986">
        <v>24.9</v>
      </c>
      <c r="D245" s="2987" t="s">
        <v>3546</v>
      </c>
    </row>
    <row r="246" spans="1:4">
      <c r="A246" s="2984">
        <v>166</v>
      </c>
      <c r="B246" s="2988" t="s">
        <v>3547</v>
      </c>
      <c r="C246" s="2986">
        <v>24.9</v>
      </c>
      <c r="D246" s="2987" t="s">
        <v>3548</v>
      </c>
    </row>
    <row r="247" spans="1:4">
      <c r="A247" s="2984">
        <v>167</v>
      </c>
      <c r="B247" s="2988" t="s">
        <v>3549</v>
      </c>
      <c r="C247" s="2986">
        <v>24.9</v>
      </c>
      <c r="D247" s="2987" t="s">
        <v>3550</v>
      </c>
    </row>
    <row r="248" spans="1:4">
      <c r="A248" s="2984">
        <v>168</v>
      </c>
      <c r="B248" s="2988" t="s">
        <v>3551</v>
      </c>
      <c r="C248" s="2986">
        <v>24.9</v>
      </c>
      <c r="D248" s="2987" t="s">
        <v>3552</v>
      </c>
    </row>
    <row r="249" spans="1:4">
      <c r="A249" s="2984">
        <v>169</v>
      </c>
      <c r="B249" s="2988" t="s">
        <v>3553</v>
      </c>
      <c r="C249" s="2986">
        <v>24.9</v>
      </c>
      <c r="D249" s="2987" t="s">
        <v>3554</v>
      </c>
    </row>
    <row r="250" spans="1:4">
      <c r="A250" s="2984">
        <v>170</v>
      </c>
      <c r="B250" s="2988" t="s">
        <v>3555</v>
      </c>
      <c r="C250" s="2986">
        <v>24.9</v>
      </c>
      <c r="D250" s="2987" t="s">
        <v>3556</v>
      </c>
    </row>
    <row r="251" spans="1:4">
      <c r="A251" s="2984">
        <v>171</v>
      </c>
      <c r="B251" s="2988" t="s">
        <v>3557</v>
      </c>
      <c r="C251" s="2986">
        <v>38.159999999999997</v>
      </c>
      <c r="D251" s="2987" t="s">
        <v>3558</v>
      </c>
    </row>
    <row r="252" spans="1:4">
      <c r="A252" s="2984">
        <v>172</v>
      </c>
      <c r="B252" s="3334" t="s">
        <v>3559</v>
      </c>
      <c r="C252" s="2986">
        <v>25.61</v>
      </c>
      <c r="D252" s="2987" t="s">
        <v>3560</v>
      </c>
    </row>
    <row r="253" spans="1:4">
      <c r="A253" s="2984">
        <v>173</v>
      </c>
      <c r="B253" s="2988" t="s">
        <v>3561</v>
      </c>
      <c r="C253" s="2986">
        <v>25.61</v>
      </c>
      <c r="D253" s="2987" t="s">
        <v>3562</v>
      </c>
    </row>
    <row r="254" spans="1:4">
      <c r="A254" s="2984">
        <v>174</v>
      </c>
      <c r="B254" s="2988" t="s">
        <v>3563</v>
      </c>
      <c r="C254" s="2986">
        <v>51.23</v>
      </c>
      <c r="D254" s="2987" t="s">
        <v>3564</v>
      </c>
    </row>
    <row r="255" spans="1:4">
      <c r="A255" s="2984">
        <v>175</v>
      </c>
      <c r="B255" s="2988" t="s">
        <v>3565</v>
      </c>
      <c r="C255" s="2986">
        <v>25.61</v>
      </c>
      <c r="D255" s="2987" t="s">
        <v>3566</v>
      </c>
    </row>
    <row r="256" spans="1:4">
      <c r="A256" s="2984">
        <v>176</v>
      </c>
      <c r="B256" s="2988" t="s">
        <v>3567</v>
      </c>
      <c r="C256" s="2986">
        <v>25.61</v>
      </c>
      <c r="D256" s="2987" t="s">
        <v>3568</v>
      </c>
    </row>
    <row r="257" spans="1:4">
      <c r="A257" s="2984">
        <v>177</v>
      </c>
      <c r="B257" s="2988" t="s">
        <v>3569</v>
      </c>
      <c r="C257" s="2986">
        <v>26.04</v>
      </c>
      <c r="D257" s="2987" t="s">
        <v>3570</v>
      </c>
    </row>
    <row r="258" spans="1:4">
      <c r="A258" s="2984">
        <v>178</v>
      </c>
      <c r="B258" s="2988" t="s">
        <v>3571</v>
      </c>
      <c r="C258" s="2986">
        <v>25.61</v>
      </c>
      <c r="D258" s="2987" t="s">
        <v>3572</v>
      </c>
    </row>
    <row r="259" spans="1:4">
      <c r="A259" s="2984">
        <v>179</v>
      </c>
      <c r="B259" s="2988" t="s">
        <v>3573</v>
      </c>
      <c r="C259" s="2986">
        <v>25.61</v>
      </c>
      <c r="D259" s="2987" t="s">
        <v>3574</v>
      </c>
    </row>
    <row r="260" spans="1:4">
      <c r="A260" s="2984">
        <v>180</v>
      </c>
      <c r="B260" s="2988" t="s">
        <v>3575</v>
      </c>
      <c r="C260" s="2986">
        <v>25.61</v>
      </c>
      <c r="D260" s="2987" t="s">
        <v>3576</v>
      </c>
    </row>
    <row r="261" spans="1:4">
      <c r="A261" s="2984">
        <v>181</v>
      </c>
      <c r="B261" s="2988" t="s">
        <v>3577</v>
      </c>
      <c r="C261" s="2986">
        <v>25.61</v>
      </c>
      <c r="D261" s="2987" t="s">
        <v>3578</v>
      </c>
    </row>
    <row r="262" spans="1:4">
      <c r="A262" s="2984">
        <v>182</v>
      </c>
      <c r="B262" s="2988" t="s">
        <v>3579</v>
      </c>
      <c r="C262" s="2986">
        <v>51.23</v>
      </c>
      <c r="D262" s="2987" t="s">
        <v>3580</v>
      </c>
    </row>
    <row r="263" spans="1:4">
      <c r="A263" s="2984">
        <v>183</v>
      </c>
      <c r="B263" s="2988" t="s">
        <v>3581</v>
      </c>
      <c r="C263" s="2986">
        <v>25.61</v>
      </c>
      <c r="D263" s="2987" t="s">
        <v>3582</v>
      </c>
    </row>
    <row r="264" spans="1:4">
      <c r="A264" s="2984">
        <v>184</v>
      </c>
      <c r="B264" s="2988" t="s">
        <v>3583</v>
      </c>
      <c r="C264" s="2986">
        <v>25.61</v>
      </c>
      <c r="D264" s="2987" t="s">
        <v>3584</v>
      </c>
    </row>
    <row r="265" spans="1:4">
      <c r="A265" s="2984">
        <v>185</v>
      </c>
      <c r="B265" s="2988" t="s">
        <v>3585</v>
      </c>
      <c r="C265" s="2986">
        <v>46.53</v>
      </c>
      <c r="D265" s="2987" t="s">
        <v>3586</v>
      </c>
    </row>
    <row r="266" spans="1:4">
      <c r="A266" s="2984">
        <v>186</v>
      </c>
      <c r="B266" s="2988" t="s">
        <v>3587</v>
      </c>
      <c r="C266" s="2986">
        <v>54.76</v>
      </c>
      <c r="D266" s="2987" t="s">
        <v>3588</v>
      </c>
    </row>
    <row r="267" spans="1:4">
      <c r="A267" s="2984">
        <v>187</v>
      </c>
      <c r="B267" s="2988" t="s">
        <v>3589</v>
      </c>
      <c r="C267" s="2986">
        <v>21.42</v>
      </c>
      <c r="D267" s="2987" t="s">
        <v>3590</v>
      </c>
    </row>
    <row r="268" spans="1:4">
      <c r="A268" s="2984">
        <v>188</v>
      </c>
      <c r="B268" s="2988" t="s">
        <v>3591</v>
      </c>
      <c r="C268" s="2986">
        <v>26.18</v>
      </c>
      <c r="D268" s="2987" t="s">
        <v>3592</v>
      </c>
    </row>
    <row r="269" spans="1:4">
      <c r="A269" s="2984">
        <v>189</v>
      </c>
      <c r="B269" s="2988" t="s">
        <v>3593</v>
      </c>
      <c r="C269" s="2986">
        <v>25.85</v>
      </c>
      <c r="D269" s="2987" t="s">
        <v>3594</v>
      </c>
    </row>
    <row r="270" spans="1:4">
      <c r="A270" s="2984">
        <v>190</v>
      </c>
      <c r="B270" s="2988" t="s">
        <v>3595</v>
      </c>
      <c r="C270" s="2986">
        <v>24.52</v>
      </c>
      <c r="D270" s="2987" t="s">
        <v>3596</v>
      </c>
    </row>
    <row r="271" spans="1:4">
      <c r="A271" s="2984">
        <v>191</v>
      </c>
      <c r="B271" s="2988" t="s">
        <v>3597</v>
      </c>
      <c r="C271" s="2986">
        <v>22.55</v>
      </c>
      <c r="D271" s="2987" t="s">
        <v>3598</v>
      </c>
    </row>
    <row r="272" spans="1:4">
      <c r="A272" s="2984">
        <v>192</v>
      </c>
      <c r="B272" s="2988" t="s">
        <v>3599</v>
      </c>
      <c r="C272" s="2986">
        <v>30.07</v>
      </c>
      <c r="D272" s="2987" t="s">
        <v>3600</v>
      </c>
    </row>
    <row r="273" spans="1:4">
      <c r="A273" s="2984">
        <v>193</v>
      </c>
      <c r="B273" s="2988" t="s">
        <v>3601</v>
      </c>
      <c r="C273" s="2986">
        <v>30.07</v>
      </c>
      <c r="D273" s="2987" t="s">
        <v>3602</v>
      </c>
    </row>
    <row r="274" spans="1:4">
      <c r="A274" s="2984">
        <v>194</v>
      </c>
      <c r="B274" s="2988" t="s">
        <v>3603</v>
      </c>
      <c r="C274" s="2986">
        <v>30.07</v>
      </c>
      <c r="D274" s="2987" t="s">
        <v>3604</v>
      </c>
    </row>
    <row r="275" spans="1:4">
      <c r="A275" s="2984">
        <v>195</v>
      </c>
      <c r="B275" s="2988" t="s">
        <v>3605</v>
      </c>
      <c r="C275" s="2986">
        <v>30.07</v>
      </c>
      <c r="D275" s="2987" t="s">
        <v>3606</v>
      </c>
    </row>
    <row r="276" spans="1:4">
      <c r="A276" s="2984">
        <v>196</v>
      </c>
      <c r="B276" s="2988" t="s">
        <v>3607</v>
      </c>
      <c r="C276" s="2986">
        <v>30.07</v>
      </c>
      <c r="D276" s="2987" t="s">
        <v>3608</v>
      </c>
    </row>
    <row r="277" spans="1:4">
      <c r="A277" s="2984">
        <v>197</v>
      </c>
      <c r="B277" s="2988" t="s">
        <v>3609</v>
      </c>
      <c r="C277" s="2986">
        <v>30.07</v>
      </c>
      <c r="D277" s="2987" t="s">
        <v>3610</v>
      </c>
    </row>
    <row r="278" spans="1:4">
      <c r="A278" s="2984">
        <v>198</v>
      </c>
      <c r="B278" s="2988" t="s">
        <v>3611</v>
      </c>
      <c r="C278" s="2986">
        <v>30.07</v>
      </c>
      <c r="D278" s="2987" t="s">
        <v>3612</v>
      </c>
    </row>
    <row r="279" spans="1:4">
      <c r="A279" s="2984">
        <v>199</v>
      </c>
      <c r="B279" s="2988" t="s">
        <v>3613</v>
      </c>
      <c r="C279" s="2986">
        <v>30.07</v>
      </c>
      <c r="D279" s="2987" t="s">
        <v>3614</v>
      </c>
    </row>
    <row r="280" spans="1:4">
      <c r="A280" s="2984">
        <v>200</v>
      </c>
      <c r="B280" s="2988" t="s">
        <v>3615</v>
      </c>
      <c r="C280" s="2986">
        <v>30.07</v>
      </c>
      <c r="D280" s="2987" t="s">
        <v>3616</v>
      </c>
    </row>
    <row r="281" spans="1:4">
      <c r="A281" s="2984">
        <v>201</v>
      </c>
      <c r="B281" s="2988" t="s">
        <v>3617</v>
      </c>
      <c r="C281" s="2986">
        <v>30.07</v>
      </c>
      <c r="D281" s="2987" t="s">
        <v>3618</v>
      </c>
    </row>
    <row r="282" spans="1:4">
      <c r="A282" s="2984">
        <v>202</v>
      </c>
      <c r="B282" s="2988" t="s">
        <v>3619</v>
      </c>
      <c r="C282" s="2986">
        <v>30.07</v>
      </c>
      <c r="D282" s="2987" t="s">
        <v>3620</v>
      </c>
    </row>
    <row r="283" spans="1:4">
      <c r="A283" s="2984">
        <v>203</v>
      </c>
      <c r="B283" s="2988" t="s">
        <v>3621</v>
      </c>
      <c r="C283" s="2986">
        <v>33.32</v>
      </c>
      <c r="D283" s="2987" t="s">
        <v>3622</v>
      </c>
    </row>
    <row r="284" spans="1:4">
      <c r="A284" s="2984">
        <v>204</v>
      </c>
      <c r="B284" s="2988" t="s">
        <v>3623</v>
      </c>
      <c r="C284" s="2986">
        <v>31.8</v>
      </c>
      <c r="D284" s="2987" t="s">
        <v>3624</v>
      </c>
    </row>
    <row r="285" spans="1:4">
      <c r="A285" s="2984">
        <v>205</v>
      </c>
      <c r="B285" s="2988" t="s">
        <v>3625</v>
      </c>
      <c r="C285" s="2986">
        <v>23.05</v>
      </c>
      <c r="D285" s="2987" t="s">
        <v>3626</v>
      </c>
    </row>
    <row r="286" spans="1:4">
      <c r="A286" s="2984">
        <v>206</v>
      </c>
      <c r="B286" s="2988" t="s">
        <v>3627</v>
      </c>
      <c r="C286" s="2986">
        <v>30.07</v>
      </c>
      <c r="D286" s="2987" t="s">
        <v>3628</v>
      </c>
    </row>
    <row r="287" spans="1:4">
      <c r="A287" s="2984">
        <v>207</v>
      </c>
      <c r="B287" s="2988" t="s">
        <v>3629</v>
      </c>
      <c r="C287" s="2986">
        <v>30.07</v>
      </c>
      <c r="D287" s="2987" t="s">
        <v>3630</v>
      </c>
    </row>
    <row r="288" spans="1:4">
      <c r="A288" s="2984">
        <v>208</v>
      </c>
      <c r="B288" s="2988" t="s">
        <v>3631</v>
      </c>
      <c r="C288" s="2986">
        <v>30.07</v>
      </c>
      <c r="D288" s="2987" t="s">
        <v>3632</v>
      </c>
    </row>
    <row r="289" spans="1:4">
      <c r="A289" s="2984">
        <v>209</v>
      </c>
      <c r="B289" s="2988" t="s">
        <v>3633</v>
      </c>
      <c r="C289" s="2986">
        <v>30.07</v>
      </c>
      <c r="D289" s="2987" t="s">
        <v>3634</v>
      </c>
    </row>
    <row r="290" spans="1:4">
      <c r="A290" s="2984">
        <v>210</v>
      </c>
      <c r="B290" s="2988" t="s">
        <v>3635</v>
      </c>
      <c r="C290" s="2986">
        <v>30.07</v>
      </c>
      <c r="D290" s="2987" t="s">
        <v>3636</v>
      </c>
    </row>
    <row r="291" spans="1:4">
      <c r="A291" s="2984">
        <v>211</v>
      </c>
      <c r="B291" s="2988" t="s">
        <v>3637</v>
      </c>
      <c r="C291" s="2986">
        <v>30.07</v>
      </c>
      <c r="D291" s="2987" t="s">
        <v>3638</v>
      </c>
    </row>
    <row r="292" spans="1:4">
      <c r="A292" s="2984">
        <v>212</v>
      </c>
      <c r="B292" s="2988" t="s">
        <v>3639</v>
      </c>
      <c r="C292" s="2986">
        <v>30.07</v>
      </c>
      <c r="D292" s="2987" t="s">
        <v>3640</v>
      </c>
    </row>
    <row r="293" spans="1:4">
      <c r="A293" s="2984">
        <v>213</v>
      </c>
      <c r="B293" s="2988" t="s">
        <v>3641</v>
      </c>
      <c r="C293" s="2986">
        <v>30.07</v>
      </c>
      <c r="D293" s="2987" t="s">
        <v>3642</v>
      </c>
    </row>
    <row r="294" spans="1:4">
      <c r="A294" s="2984">
        <v>214</v>
      </c>
      <c r="B294" s="2988" t="s">
        <v>3643</v>
      </c>
      <c r="C294" s="2986">
        <v>30.07</v>
      </c>
      <c r="D294" s="2987" t="s">
        <v>3644</v>
      </c>
    </row>
    <row r="295" spans="1:4">
      <c r="A295" s="2984">
        <v>215</v>
      </c>
      <c r="B295" s="2988" t="s">
        <v>3645</v>
      </c>
      <c r="C295" s="2986">
        <v>28.06</v>
      </c>
      <c r="D295" s="2987" t="s">
        <v>3646</v>
      </c>
    </row>
    <row r="296" spans="1:4">
      <c r="A296" s="2984">
        <v>216</v>
      </c>
      <c r="B296" s="2988" t="s">
        <v>3647</v>
      </c>
      <c r="C296" s="2986">
        <v>26.8</v>
      </c>
      <c r="D296" s="2987" t="s">
        <v>3648</v>
      </c>
    </row>
    <row r="297" spans="1:4">
      <c r="A297" s="2984">
        <v>217</v>
      </c>
      <c r="B297" s="2988" t="s">
        <v>3649</v>
      </c>
      <c r="C297" s="2986">
        <v>49.28</v>
      </c>
      <c r="D297" s="2987" t="s">
        <v>3650</v>
      </c>
    </row>
    <row r="298" spans="1:4">
      <c r="A298" s="2984">
        <v>218</v>
      </c>
      <c r="B298" s="2988" t="s">
        <v>3651</v>
      </c>
      <c r="C298" s="2986">
        <v>44.47</v>
      </c>
      <c r="D298" s="2987" t="s">
        <v>3652</v>
      </c>
    </row>
    <row r="299" spans="1:4">
      <c r="A299" s="2984">
        <v>219</v>
      </c>
      <c r="B299" s="2988" t="s">
        <v>3653</v>
      </c>
      <c r="C299" s="2986">
        <v>46.7</v>
      </c>
      <c r="D299" s="2987" t="s">
        <v>3654</v>
      </c>
    </row>
    <row r="300" spans="1:4">
      <c r="A300" s="2984">
        <v>220</v>
      </c>
      <c r="B300" s="2988" t="s">
        <v>3655</v>
      </c>
      <c r="C300" s="2986">
        <v>26.94</v>
      </c>
      <c r="D300" s="2987" t="s">
        <v>3656</v>
      </c>
    </row>
    <row r="301" spans="1:4">
      <c r="A301" s="2984">
        <v>221</v>
      </c>
      <c r="B301" s="2988" t="s">
        <v>3657</v>
      </c>
      <c r="C301" s="2986">
        <v>28.2</v>
      </c>
      <c r="D301" s="2987" t="s">
        <v>3658</v>
      </c>
    </row>
    <row r="302" spans="1:4">
      <c r="A302" s="2984">
        <v>222</v>
      </c>
      <c r="B302" s="2988" t="s">
        <v>3659</v>
      </c>
      <c r="C302" s="2986">
        <v>30.22</v>
      </c>
      <c r="D302" s="2987" t="s">
        <v>3660</v>
      </c>
    </row>
    <row r="303" spans="1:4">
      <c r="A303" s="2984">
        <v>223</v>
      </c>
      <c r="B303" s="2988" t="s">
        <v>3661</v>
      </c>
      <c r="C303" s="2986">
        <v>30.22</v>
      </c>
      <c r="D303" s="2987" t="s">
        <v>3662</v>
      </c>
    </row>
    <row r="304" spans="1:4">
      <c r="A304" s="2984">
        <v>224</v>
      </c>
      <c r="B304" s="2988" t="s">
        <v>3663</v>
      </c>
      <c r="C304" s="2986">
        <v>30.22</v>
      </c>
      <c r="D304" s="2987" t="s">
        <v>3664</v>
      </c>
    </row>
    <row r="305" spans="1:4">
      <c r="A305" s="2984">
        <v>225</v>
      </c>
      <c r="B305" s="2988" t="s">
        <v>3665</v>
      </c>
      <c r="C305" s="2986">
        <v>30.22</v>
      </c>
      <c r="D305" s="2987" t="s">
        <v>3666</v>
      </c>
    </row>
    <row r="306" spans="1:4">
      <c r="A306" s="2984">
        <v>226</v>
      </c>
      <c r="B306" s="2988" t="s">
        <v>3667</v>
      </c>
      <c r="C306" s="2986">
        <v>30.22</v>
      </c>
      <c r="D306" s="2987" t="s">
        <v>3668</v>
      </c>
    </row>
    <row r="307" spans="1:4">
      <c r="A307" s="2984">
        <v>227</v>
      </c>
      <c r="B307" s="2988" t="s">
        <v>3669</v>
      </c>
      <c r="C307" s="2986">
        <v>30.22</v>
      </c>
      <c r="D307" s="2987" t="s">
        <v>3670</v>
      </c>
    </row>
    <row r="308" spans="1:4">
      <c r="A308" s="2984">
        <v>228</v>
      </c>
      <c r="B308" s="2988" t="s">
        <v>3671</v>
      </c>
      <c r="C308" s="2986">
        <v>30.22</v>
      </c>
      <c r="D308" s="2987" t="s">
        <v>3672</v>
      </c>
    </row>
    <row r="309" spans="1:4">
      <c r="A309" s="2984">
        <v>229</v>
      </c>
      <c r="B309" s="2988" t="s">
        <v>3673</v>
      </c>
      <c r="C309" s="2986">
        <v>30.22</v>
      </c>
      <c r="D309" s="2987" t="s">
        <v>3674</v>
      </c>
    </row>
    <row r="310" spans="1:4">
      <c r="A310" s="2984">
        <v>230</v>
      </c>
      <c r="B310" s="2988" t="s">
        <v>3675</v>
      </c>
      <c r="C310" s="2986">
        <v>30.22</v>
      </c>
      <c r="D310" s="2987" t="s">
        <v>3676</v>
      </c>
    </row>
    <row r="311" spans="1:4">
      <c r="A311" s="2984">
        <v>231</v>
      </c>
      <c r="B311" s="2988" t="s">
        <v>3677</v>
      </c>
      <c r="C311" s="2986">
        <v>23.29</v>
      </c>
      <c r="D311" s="2987" t="s">
        <v>3678</v>
      </c>
    </row>
    <row r="312" spans="1:4">
      <c r="A312" s="2984">
        <v>232</v>
      </c>
      <c r="B312" s="2988" t="s">
        <v>3679</v>
      </c>
      <c r="C312" s="2986">
        <v>31.85</v>
      </c>
      <c r="D312" s="2987" t="s">
        <v>3680</v>
      </c>
    </row>
    <row r="313" spans="1:4">
      <c r="A313" s="2984">
        <v>233</v>
      </c>
      <c r="B313" s="2988" t="s">
        <v>3681</v>
      </c>
      <c r="C313" s="2986">
        <v>34.51</v>
      </c>
      <c r="D313" s="2987" t="s">
        <v>3682</v>
      </c>
    </row>
    <row r="314" spans="1:4">
      <c r="A314" s="2984">
        <v>234</v>
      </c>
      <c r="B314" s="2988" t="s">
        <v>3683</v>
      </c>
      <c r="C314" s="2986">
        <v>31.14</v>
      </c>
      <c r="D314" s="2987" t="s">
        <v>3684</v>
      </c>
    </row>
    <row r="315" spans="1:4">
      <c r="A315" s="2984">
        <v>235</v>
      </c>
      <c r="B315" s="2988" t="s">
        <v>3685</v>
      </c>
      <c r="C315" s="2986">
        <v>31.14</v>
      </c>
      <c r="D315" s="2987" t="s">
        <v>3686</v>
      </c>
    </row>
    <row r="316" spans="1:4">
      <c r="A316" s="2984">
        <v>236</v>
      </c>
      <c r="B316" s="2988" t="s">
        <v>3687</v>
      </c>
      <c r="C316" s="2986">
        <v>31.14</v>
      </c>
      <c r="D316" s="2987" t="s">
        <v>3688</v>
      </c>
    </row>
    <row r="317" spans="1:4">
      <c r="A317" s="2984">
        <v>237</v>
      </c>
      <c r="B317" s="2988" t="s">
        <v>3689</v>
      </c>
      <c r="C317" s="2986">
        <v>31.14</v>
      </c>
      <c r="D317" s="2987" t="s">
        <v>3690</v>
      </c>
    </row>
    <row r="318" spans="1:4">
      <c r="A318" s="2984">
        <v>238</v>
      </c>
      <c r="B318" s="2988" t="s">
        <v>3691</v>
      </c>
      <c r="C318" s="2986">
        <v>31.14</v>
      </c>
      <c r="D318" s="2987" t="s">
        <v>3692</v>
      </c>
    </row>
    <row r="319" spans="1:4">
      <c r="A319" s="2984">
        <v>239</v>
      </c>
      <c r="B319" s="2988" t="s">
        <v>3693</v>
      </c>
      <c r="C319" s="2986">
        <v>31.14</v>
      </c>
      <c r="D319" s="2987" t="s">
        <v>3694</v>
      </c>
    </row>
    <row r="320" spans="1:4">
      <c r="A320" s="2984">
        <v>240</v>
      </c>
      <c r="B320" s="2988" t="s">
        <v>3695</v>
      </c>
      <c r="C320" s="2986">
        <v>31.14</v>
      </c>
      <c r="D320" s="2987" t="s">
        <v>3696</v>
      </c>
    </row>
    <row r="321" spans="1:4">
      <c r="A321" s="2984">
        <v>241</v>
      </c>
      <c r="B321" s="2988" t="s">
        <v>3697</v>
      </c>
      <c r="C321" s="2986">
        <v>31.14</v>
      </c>
      <c r="D321" s="2987" t="s">
        <v>3698</v>
      </c>
    </row>
    <row r="322" spans="1:4">
      <c r="A322" s="2984">
        <v>242</v>
      </c>
      <c r="B322" s="2988" t="s">
        <v>3699</v>
      </c>
      <c r="C322" s="2986">
        <v>31.14</v>
      </c>
      <c r="D322" s="2987" t="s">
        <v>3700</v>
      </c>
    </row>
    <row r="323" spans="1:4">
      <c r="A323" s="2984">
        <v>243</v>
      </c>
      <c r="B323" s="2988" t="s">
        <v>3701</v>
      </c>
      <c r="C323" s="2986">
        <v>31.14</v>
      </c>
      <c r="D323" s="2987" t="s">
        <v>3702</v>
      </c>
    </row>
    <row r="324" spans="1:4">
      <c r="A324" s="2984">
        <v>244</v>
      </c>
      <c r="B324" s="2988" t="s">
        <v>3703</v>
      </c>
      <c r="C324" s="2986">
        <v>31.14</v>
      </c>
      <c r="D324" s="2987" t="s">
        <v>3704</v>
      </c>
    </row>
    <row r="325" spans="1:4">
      <c r="A325" s="2984">
        <v>245</v>
      </c>
      <c r="B325" s="2988" t="s">
        <v>3705</v>
      </c>
      <c r="C325" s="2986">
        <v>23.34</v>
      </c>
      <c r="D325" s="2987" t="s">
        <v>3706</v>
      </c>
    </row>
    <row r="326" spans="1:4">
      <c r="A326" s="2984">
        <v>246</v>
      </c>
      <c r="B326" s="2988" t="s">
        <v>3707</v>
      </c>
      <c r="C326" s="2986">
        <v>23.34</v>
      </c>
      <c r="D326" s="2987" t="s">
        <v>3708</v>
      </c>
    </row>
    <row r="327" spans="1:4">
      <c r="A327" s="2984">
        <v>247</v>
      </c>
      <c r="B327" s="2988" t="s">
        <v>3709</v>
      </c>
      <c r="C327" s="2986">
        <v>31.14</v>
      </c>
      <c r="D327" s="2987" t="s">
        <v>3710</v>
      </c>
    </row>
    <row r="328" spans="1:4">
      <c r="A328" s="2984">
        <v>248</v>
      </c>
      <c r="B328" s="2988" t="s">
        <v>3711</v>
      </c>
      <c r="C328" s="2986">
        <v>31.14</v>
      </c>
      <c r="D328" s="2987" t="s">
        <v>3712</v>
      </c>
    </row>
    <row r="329" spans="1:4">
      <c r="A329" s="2984">
        <v>249</v>
      </c>
      <c r="B329" s="2988" t="s">
        <v>3713</v>
      </c>
      <c r="C329" s="2986">
        <v>31.14</v>
      </c>
      <c r="D329" s="2987" t="s">
        <v>3714</v>
      </c>
    </row>
    <row r="330" spans="1:4">
      <c r="A330" s="2984">
        <v>250</v>
      </c>
      <c r="B330" s="2988" t="s">
        <v>3715</v>
      </c>
      <c r="C330" s="2986">
        <v>31.14</v>
      </c>
      <c r="D330" s="2987" t="s">
        <v>3716</v>
      </c>
    </row>
    <row r="331" spans="1:4">
      <c r="A331" s="2984">
        <v>251</v>
      </c>
      <c r="B331" s="2988" t="s">
        <v>3717</v>
      </c>
      <c r="C331" s="2986">
        <v>31.14</v>
      </c>
      <c r="D331" s="2987" t="s">
        <v>3718</v>
      </c>
    </row>
    <row r="332" spans="1:4">
      <c r="A332" s="2984">
        <v>252</v>
      </c>
      <c r="B332" s="2988" t="s">
        <v>3719</v>
      </c>
      <c r="C332" s="2986">
        <v>31.14</v>
      </c>
      <c r="D332" s="2987" t="s">
        <v>3720</v>
      </c>
    </row>
    <row r="333" spans="1:4">
      <c r="A333" s="2984">
        <v>253</v>
      </c>
      <c r="B333" s="2988" t="s">
        <v>3721</v>
      </c>
      <c r="C333" s="2986">
        <v>31.14</v>
      </c>
      <c r="D333" s="2987" t="s">
        <v>3722</v>
      </c>
    </row>
    <row r="334" spans="1:4">
      <c r="A334" s="2984">
        <v>254</v>
      </c>
      <c r="B334" s="2988" t="s">
        <v>3723</v>
      </c>
      <c r="C334" s="2986">
        <v>31.14</v>
      </c>
      <c r="D334" s="2987" t="s">
        <v>3724</v>
      </c>
    </row>
    <row r="335" spans="1:4">
      <c r="A335" s="2984">
        <v>255</v>
      </c>
      <c r="B335" s="2988" t="s">
        <v>3725</v>
      </c>
      <c r="C335" s="2986">
        <v>31.14</v>
      </c>
      <c r="D335" s="2987" t="s">
        <v>3726</v>
      </c>
    </row>
    <row r="336" spans="1:4">
      <c r="A336" s="2984">
        <v>256</v>
      </c>
      <c r="B336" s="2988" t="s">
        <v>3727</v>
      </c>
      <c r="C336" s="2986">
        <v>31.14</v>
      </c>
      <c r="D336" s="2987" t="s">
        <v>3728</v>
      </c>
    </row>
    <row r="337" spans="1:4">
      <c r="A337" s="2984">
        <v>257</v>
      </c>
      <c r="B337" s="2988" t="s">
        <v>3729</v>
      </c>
      <c r="C337" s="2986">
        <v>31.14</v>
      </c>
      <c r="D337" s="2987" t="s">
        <v>3730</v>
      </c>
    </row>
    <row r="338" spans="1:4">
      <c r="A338" s="2984">
        <v>258</v>
      </c>
      <c r="B338" s="2988" t="s">
        <v>3731</v>
      </c>
      <c r="C338" s="2986">
        <v>34.51</v>
      </c>
      <c r="D338" s="2987" t="s">
        <v>3732</v>
      </c>
    </row>
    <row r="339" spans="1:4">
      <c r="A339" s="2984">
        <v>259</v>
      </c>
      <c r="B339" s="2988" t="s">
        <v>3733</v>
      </c>
      <c r="C339" s="2986">
        <v>33.770000000000003</v>
      </c>
      <c r="D339" s="2987" t="s">
        <v>3734</v>
      </c>
    </row>
    <row r="340" spans="1:4">
      <c r="A340" s="2984">
        <v>260</v>
      </c>
      <c r="B340" s="2988" t="s">
        <v>3735</v>
      </c>
      <c r="C340" s="2986">
        <v>24.69</v>
      </c>
      <c r="D340" s="2987" t="s">
        <v>3736</v>
      </c>
    </row>
    <row r="341" spans="1:4">
      <c r="A341" s="2984">
        <v>261</v>
      </c>
      <c r="B341" s="2988" t="s">
        <v>3737</v>
      </c>
      <c r="C341" s="2986">
        <v>32.04</v>
      </c>
      <c r="D341" s="2987" t="s">
        <v>3738</v>
      </c>
    </row>
    <row r="342" spans="1:4">
      <c r="A342" s="2984">
        <v>262</v>
      </c>
      <c r="B342" s="2988" t="s">
        <v>3739</v>
      </c>
      <c r="C342" s="2986">
        <v>32.04</v>
      </c>
      <c r="D342" s="2987" t="s">
        <v>3740</v>
      </c>
    </row>
    <row r="343" spans="1:4">
      <c r="A343" s="2984">
        <v>263</v>
      </c>
      <c r="B343" s="2988" t="s">
        <v>3741</v>
      </c>
      <c r="C343" s="2986">
        <v>32.04</v>
      </c>
      <c r="D343" s="2987" t="s">
        <v>3742</v>
      </c>
    </row>
    <row r="344" spans="1:4">
      <c r="A344" s="2984">
        <v>264</v>
      </c>
      <c r="B344" s="2988" t="s">
        <v>3743</v>
      </c>
      <c r="C344" s="2986">
        <v>32.04</v>
      </c>
      <c r="D344" s="2987" t="s">
        <v>3744</v>
      </c>
    </row>
    <row r="345" spans="1:4">
      <c r="A345" s="2984">
        <v>265</v>
      </c>
      <c r="B345" s="2988" t="s">
        <v>3745</v>
      </c>
      <c r="C345" s="2986">
        <v>32.04</v>
      </c>
      <c r="D345" s="2987" t="s">
        <v>3746</v>
      </c>
    </row>
    <row r="346" spans="1:4">
      <c r="A346" s="2984">
        <v>266</v>
      </c>
      <c r="B346" s="2988" t="s">
        <v>3747</v>
      </c>
      <c r="C346" s="2986">
        <v>32.04</v>
      </c>
      <c r="D346" s="2987" t="s">
        <v>3748</v>
      </c>
    </row>
    <row r="347" spans="1:4">
      <c r="A347" s="2984">
        <v>267</v>
      </c>
      <c r="B347" s="2988" t="s">
        <v>3749</v>
      </c>
      <c r="C347" s="2986">
        <v>32.04</v>
      </c>
      <c r="D347" s="2987" t="s">
        <v>3750</v>
      </c>
    </row>
    <row r="348" spans="1:4">
      <c r="A348" s="2984">
        <v>268</v>
      </c>
      <c r="B348" s="2988" t="s">
        <v>3751</v>
      </c>
      <c r="C348" s="2986">
        <v>32.04</v>
      </c>
      <c r="D348" s="2987" t="s">
        <v>3752</v>
      </c>
    </row>
    <row r="349" spans="1:4">
      <c r="A349" s="2984">
        <v>269</v>
      </c>
      <c r="B349" s="2988" t="s">
        <v>3753</v>
      </c>
      <c r="C349" s="2986">
        <v>32.04</v>
      </c>
      <c r="D349" s="2987" t="s">
        <v>3754</v>
      </c>
    </row>
    <row r="350" spans="1:4">
      <c r="A350" s="2984">
        <v>270</v>
      </c>
      <c r="B350" s="2988" t="s">
        <v>3755</v>
      </c>
      <c r="C350" s="2986">
        <v>29.91</v>
      </c>
      <c r="D350" s="2987" t="s">
        <v>3756</v>
      </c>
    </row>
    <row r="351" spans="1:4">
      <c r="A351" s="2984">
        <v>271</v>
      </c>
      <c r="B351" s="2988" t="s">
        <v>3757</v>
      </c>
      <c r="C351" s="2986">
        <v>28.56</v>
      </c>
      <c r="D351" s="2987" t="s">
        <v>3758</v>
      </c>
    </row>
    <row r="352" spans="1:4">
      <c r="A352" s="2984">
        <v>272</v>
      </c>
      <c r="B352" s="2988" t="s">
        <v>3759</v>
      </c>
      <c r="C352" s="2986">
        <v>24.67</v>
      </c>
      <c r="D352" s="2987" t="s">
        <v>3760</v>
      </c>
    </row>
    <row r="353" spans="1:4">
      <c r="A353" s="2984">
        <v>273</v>
      </c>
      <c r="B353" s="2988" t="s">
        <v>3761</v>
      </c>
      <c r="C353" s="2986">
        <v>23.48</v>
      </c>
      <c r="D353" s="2987" t="s">
        <v>3762</v>
      </c>
    </row>
    <row r="354" spans="1:4">
      <c r="A354" s="2984">
        <v>274</v>
      </c>
      <c r="B354" s="2988" t="s">
        <v>3763</v>
      </c>
      <c r="C354" s="2986">
        <v>26.02</v>
      </c>
      <c r="D354" s="2987" t="s">
        <v>3764</v>
      </c>
    </row>
    <row r="355" spans="1:4">
      <c r="A355" s="2984">
        <v>275</v>
      </c>
      <c r="B355" s="2988" t="s">
        <v>3765</v>
      </c>
      <c r="C355" s="2986">
        <v>22.67</v>
      </c>
      <c r="D355" s="2987" t="s">
        <v>3766</v>
      </c>
    </row>
    <row r="356" spans="1:4">
      <c r="A356" s="2984">
        <v>276</v>
      </c>
      <c r="B356" s="2988" t="s">
        <v>3767</v>
      </c>
      <c r="C356" s="2986">
        <v>23.74</v>
      </c>
      <c r="D356" s="2987" t="s">
        <v>3768</v>
      </c>
    </row>
    <row r="357" spans="1:4">
      <c r="A357" s="2984">
        <v>277</v>
      </c>
      <c r="B357" s="2988" t="s">
        <v>3769</v>
      </c>
      <c r="C357" s="2986">
        <v>25.45</v>
      </c>
      <c r="D357" s="2987" t="s">
        <v>3770</v>
      </c>
    </row>
    <row r="358" spans="1:4">
      <c r="A358" s="2984">
        <v>278</v>
      </c>
      <c r="B358" s="2988" t="s">
        <v>3771</v>
      </c>
      <c r="C358" s="2986">
        <v>25.45</v>
      </c>
      <c r="D358" s="2987" t="s">
        <v>3772</v>
      </c>
    </row>
    <row r="359" spans="1:4">
      <c r="A359" s="2984">
        <v>279</v>
      </c>
      <c r="B359" s="2988" t="s">
        <v>3773</v>
      </c>
      <c r="C359" s="2986">
        <v>25.45</v>
      </c>
      <c r="D359" s="2987" t="s">
        <v>3774</v>
      </c>
    </row>
    <row r="360" spans="1:4">
      <c r="A360" s="2984">
        <v>280</v>
      </c>
      <c r="B360" s="2988" t="s">
        <v>3775</v>
      </c>
      <c r="C360" s="2986">
        <v>25.45</v>
      </c>
      <c r="D360" s="2987" t="s">
        <v>3776</v>
      </c>
    </row>
    <row r="361" spans="1:4">
      <c r="A361" s="2984">
        <v>281</v>
      </c>
      <c r="B361" s="2988" t="s">
        <v>3777</v>
      </c>
      <c r="C361" s="2986">
        <v>25.45</v>
      </c>
      <c r="D361" s="2987" t="s">
        <v>3778</v>
      </c>
    </row>
    <row r="362" spans="1:4">
      <c r="A362" s="2984">
        <v>282</v>
      </c>
      <c r="B362" s="2988" t="s">
        <v>3779</v>
      </c>
      <c r="C362" s="2986">
        <v>25.45</v>
      </c>
      <c r="D362" s="2987" t="s">
        <v>3780</v>
      </c>
    </row>
    <row r="363" spans="1:4">
      <c r="A363" s="2984">
        <v>283</v>
      </c>
      <c r="B363" s="2988" t="s">
        <v>3781</v>
      </c>
      <c r="C363" s="2986">
        <v>25.45</v>
      </c>
      <c r="D363" s="2987" t="s">
        <v>3782</v>
      </c>
    </row>
    <row r="364" spans="1:4">
      <c r="A364" s="2984">
        <v>284</v>
      </c>
      <c r="B364" s="2988" t="s">
        <v>3783</v>
      </c>
      <c r="C364" s="2986">
        <v>25.45</v>
      </c>
      <c r="D364" s="2987" t="s">
        <v>3784</v>
      </c>
    </row>
    <row r="365" spans="1:4">
      <c r="A365" s="2984">
        <v>285</v>
      </c>
      <c r="B365" s="2988" t="s">
        <v>3785</v>
      </c>
      <c r="C365" s="2986">
        <v>25.45</v>
      </c>
      <c r="D365" s="2987" t="s">
        <v>3786</v>
      </c>
    </row>
    <row r="366" spans="1:4">
      <c r="A366" s="2984">
        <v>286</v>
      </c>
      <c r="B366" s="2988" t="s">
        <v>3787</v>
      </c>
      <c r="C366" s="2986">
        <v>19.61</v>
      </c>
      <c r="D366" s="2987" t="s">
        <v>3788</v>
      </c>
    </row>
    <row r="367" spans="1:4">
      <c r="A367" s="2984">
        <v>287</v>
      </c>
      <c r="B367" s="2988" t="s">
        <v>3789</v>
      </c>
      <c r="C367" s="2986">
        <v>26.82</v>
      </c>
      <c r="D367" s="2987" t="s">
        <v>3790</v>
      </c>
    </row>
    <row r="368" spans="1:4">
      <c r="A368" s="2984">
        <v>288</v>
      </c>
      <c r="B368" s="2988" t="s">
        <v>3791</v>
      </c>
      <c r="C368" s="2986">
        <v>28.2</v>
      </c>
      <c r="D368" s="2987" t="s">
        <v>3792</v>
      </c>
    </row>
    <row r="369" spans="1:4">
      <c r="A369" s="2984">
        <v>289</v>
      </c>
      <c r="B369" s="2988" t="s">
        <v>3793</v>
      </c>
      <c r="C369" s="2986">
        <v>25.45</v>
      </c>
      <c r="D369" s="2987" t="s">
        <v>3794</v>
      </c>
    </row>
    <row r="370" spans="1:4">
      <c r="A370" s="2984">
        <v>290</v>
      </c>
      <c r="B370" s="2988" t="s">
        <v>3795</v>
      </c>
      <c r="C370" s="2986">
        <v>25.45</v>
      </c>
      <c r="D370" s="2987" t="s">
        <v>3796</v>
      </c>
    </row>
    <row r="371" spans="1:4">
      <c r="A371" s="2984">
        <v>291</v>
      </c>
      <c r="B371" s="2988" t="s">
        <v>3797</v>
      </c>
      <c r="C371" s="2986">
        <v>25.45</v>
      </c>
      <c r="D371" s="2987" t="s">
        <v>3798</v>
      </c>
    </row>
    <row r="372" spans="1:4">
      <c r="A372" s="2984">
        <v>292</v>
      </c>
      <c r="B372" s="2988" t="s">
        <v>3799</v>
      </c>
      <c r="C372" s="2986">
        <v>25.45</v>
      </c>
      <c r="D372" s="2987" t="s">
        <v>3800</v>
      </c>
    </row>
    <row r="373" spans="1:4">
      <c r="A373" s="2984">
        <v>293</v>
      </c>
      <c r="B373" s="2988" t="s">
        <v>3801</v>
      </c>
      <c r="C373" s="2986">
        <v>25.45</v>
      </c>
      <c r="D373" s="2987" t="s">
        <v>3802</v>
      </c>
    </row>
    <row r="374" spans="1:4">
      <c r="A374" s="2984">
        <v>294</v>
      </c>
      <c r="B374" s="2988" t="s">
        <v>3803</v>
      </c>
      <c r="C374" s="2986">
        <v>25.45</v>
      </c>
      <c r="D374" s="2987" t="s">
        <v>3804</v>
      </c>
    </row>
    <row r="375" spans="1:4">
      <c r="A375" s="2984">
        <v>295</v>
      </c>
      <c r="B375" s="2988" t="s">
        <v>3805</v>
      </c>
      <c r="C375" s="2986">
        <v>25.45</v>
      </c>
      <c r="D375" s="2987" t="s">
        <v>3806</v>
      </c>
    </row>
    <row r="376" spans="1:4">
      <c r="A376" s="2984">
        <v>296</v>
      </c>
      <c r="B376" s="2988" t="s">
        <v>3807</v>
      </c>
      <c r="C376" s="2986">
        <v>25.45</v>
      </c>
      <c r="D376" s="2987" t="s">
        <v>3808</v>
      </c>
    </row>
    <row r="377" spans="1:4">
      <c r="A377" s="2984">
        <v>297</v>
      </c>
      <c r="B377" s="2988" t="s">
        <v>3809</v>
      </c>
      <c r="C377" s="2986">
        <v>25.45</v>
      </c>
      <c r="D377" s="2987" t="s">
        <v>3810</v>
      </c>
    </row>
    <row r="378" spans="1:4">
      <c r="A378" s="2984">
        <v>298</v>
      </c>
      <c r="B378" s="2988" t="s">
        <v>3811</v>
      </c>
      <c r="C378" s="2986">
        <v>25.45</v>
      </c>
      <c r="D378" s="2987" t="s">
        <v>3812</v>
      </c>
    </row>
    <row r="379" spans="1:4">
      <c r="A379" s="2984">
        <v>299</v>
      </c>
      <c r="B379" s="2988" t="s">
        <v>3813</v>
      </c>
      <c r="C379" s="2986">
        <v>25.45</v>
      </c>
      <c r="D379" s="2987" t="s">
        <v>3814</v>
      </c>
    </row>
    <row r="380" spans="1:4">
      <c r="A380" s="2984">
        <v>300</v>
      </c>
      <c r="B380" s="2988" t="s">
        <v>3815</v>
      </c>
      <c r="C380" s="2986">
        <v>19.07</v>
      </c>
      <c r="D380" s="2987" t="s">
        <v>3816</v>
      </c>
    </row>
    <row r="381" spans="1:4">
      <c r="A381" s="2984">
        <v>301</v>
      </c>
      <c r="B381" s="2988" t="s">
        <v>3817</v>
      </c>
      <c r="C381" s="2986">
        <v>19.07</v>
      </c>
      <c r="D381" s="2987" t="s">
        <v>3818</v>
      </c>
    </row>
    <row r="382" spans="1:4">
      <c r="A382" s="2984">
        <v>302</v>
      </c>
      <c r="B382" s="2988" t="s">
        <v>3819</v>
      </c>
      <c r="C382" s="2986">
        <v>25.45</v>
      </c>
      <c r="D382" s="2987" t="s">
        <v>3820</v>
      </c>
    </row>
    <row r="383" spans="1:4">
      <c r="A383" s="2984">
        <v>303</v>
      </c>
      <c r="B383" s="2988" t="s">
        <v>3821</v>
      </c>
      <c r="C383" s="2986">
        <v>25.45</v>
      </c>
      <c r="D383" s="2987" t="s">
        <v>3822</v>
      </c>
    </row>
    <row r="384" spans="1:4">
      <c r="A384" s="2984">
        <v>304</v>
      </c>
      <c r="B384" s="2988" t="s">
        <v>3823</v>
      </c>
      <c r="C384" s="2986">
        <v>25.45</v>
      </c>
      <c r="D384" s="2987" t="s">
        <v>3824</v>
      </c>
    </row>
    <row r="385" spans="1:4">
      <c r="A385" s="2984">
        <v>305</v>
      </c>
      <c r="B385" s="2988" t="s">
        <v>3825</v>
      </c>
      <c r="C385" s="2986">
        <v>25.45</v>
      </c>
      <c r="D385" s="2987" t="s">
        <v>3826</v>
      </c>
    </row>
    <row r="386" spans="1:4">
      <c r="A386" s="2984">
        <v>306</v>
      </c>
      <c r="B386" s="2988" t="s">
        <v>3827</v>
      </c>
      <c r="C386" s="2986">
        <v>25.45</v>
      </c>
      <c r="D386" s="2987" t="s">
        <v>3828</v>
      </c>
    </row>
    <row r="387" spans="1:4">
      <c r="A387" s="2984">
        <v>307</v>
      </c>
      <c r="B387" s="2988" t="s">
        <v>3829</v>
      </c>
      <c r="C387" s="2986">
        <v>25.45</v>
      </c>
      <c r="D387" s="2987" t="s">
        <v>3830</v>
      </c>
    </row>
    <row r="388" spans="1:4">
      <c r="A388" s="2984">
        <v>308</v>
      </c>
      <c r="B388" s="2988" t="s">
        <v>3831</v>
      </c>
      <c r="C388" s="2986">
        <v>25.45</v>
      </c>
      <c r="D388" s="2987" t="s">
        <v>3832</v>
      </c>
    </row>
    <row r="389" spans="1:4">
      <c r="A389" s="2984">
        <v>309</v>
      </c>
      <c r="B389" s="2988" t="s">
        <v>3833</v>
      </c>
      <c r="C389" s="2986">
        <v>25.45</v>
      </c>
      <c r="D389" s="2987" t="s">
        <v>3834</v>
      </c>
    </row>
    <row r="390" spans="1:4">
      <c r="A390" s="2984">
        <v>310</v>
      </c>
      <c r="B390" s="2988" t="s">
        <v>3835</v>
      </c>
      <c r="C390" s="2986">
        <v>25.45</v>
      </c>
      <c r="D390" s="2987" t="s">
        <v>3836</v>
      </c>
    </row>
    <row r="391" spans="1:4">
      <c r="A391" s="2984">
        <v>311</v>
      </c>
      <c r="B391" s="2988" t="s">
        <v>3837</v>
      </c>
      <c r="C391" s="2986">
        <v>25.45</v>
      </c>
      <c r="D391" s="2987" t="s">
        <v>3838</v>
      </c>
    </row>
    <row r="392" spans="1:4">
      <c r="A392" s="2984">
        <v>312</v>
      </c>
      <c r="B392" s="2988" t="s">
        <v>3839</v>
      </c>
      <c r="C392" s="2986">
        <v>25.45</v>
      </c>
      <c r="D392" s="2987" t="s">
        <v>3840</v>
      </c>
    </row>
    <row r="393" spans="1:4">
      <c r="A393" s="2984">
        <v>313</v>
      </c>
      <c r="B393" s="2988" t="s">
        <v>3841</v>
      </c>
      <c r="C393" s="2986">
        <v>28.2</v>
      </c>
      <c r="D393" s="2987" t="s">
        <v>3842</v>
      </c>
    </row>
    <row r="394" spans="1:4">
      <c r="A394" s="2984">
        <v>314</v>
      </c>
      <c r="B394" s="2988" t="s">
        <v>3843</v>
      </c>
      <c r="C394" s="2986">
        <v>26.82</v>
      </c>
      <c r="D394" s="2987" t="s">
        <v>3844</v>
      </c>
    </row>
    <row r="395" spans="1:4">
      <c r="A395" s="2984">
        <v>315</v>
      </c>
      <c r="B395" s="2988" t="s">
        <v>3845</v>
      </c>
      <c r="C395" s="2986">
        <v>19.61</v>
      </c>
      <c r="D395" s="2987" t="s">
        <v>3846</v>
      </c>
    </row>
    <row r="396" spans="1:4">
      <c r="A396" s="2984">
        <v>316</v>
      </c>
      <c r="B396" s="2988" t="s">
        <v>3847</v>
      </c>
      <c r="C396" s="2986">
        <v>25.45</v>
      </c>
      <c r="D396" s="2987" t="s">
        <v>3848</v>
      </c>
    </row>
    <row r="397" spans="1:4">
      <c r="A397" s="2984">
        <v>317</v>
      </c>
      <c r="B397" s="2988" t="s">
        <v>3849</v>
      </c>
      <c r="C397" s="2986">
        <v>25.45</v>
      </c>
      <c r="D397" s="2987" t="s">
        <v>3850</v>
      </c>
    </row>
    <row r="398" spans="1:4">
      <c r="A398" s="2984">
        <v>318</v>
      </c>
      <c r="B398" s="2988" t="s">
        <v>3851</v>
      </c>
      <c r="C398" s="2986">
        <v>25.45</v>
      </c>
      <c r="D398" s="2987" t="s">
        <v>3852</v>
      </c>
    </row>
    <row r="399" spans="1:4">
      <c r="A399" s="2984">
        <v>319</v>
      </c>
      <c r="B399" s="2988" t="s">
        <v>3853</v>
      </c>
      <c r="C399" s="2986">
        <v>25.45</v>
      </c>
      <c r="D399" s="2987" t="s">
        <v>3854</v>
      </c>
    </row>
    <row r="400" spans="1:4">
      <c r="A400" s="2984">
        <v>320</v>
      </c>
      <c r="B400" s="2988" t="s">
        <v>3855</v>
      </c>
      <c r="C400" s="2986">
        <v>25.45</v>
      </c>
      <c r="D400" s="2987" t="s">
        <v>3856</v>
      </c>
    </row>
    <row r="401" spans="1:4">
      <c r="A401" s="2984">
        <v>321</v>
      </c>
      <c r="B401" s="2988" t="s">
        <v>3857</v>
      </c>
      <c r="C401" s="2986">
        <v>25.45</v>
      </c>
      <c r="D401" s="2987" t="s">
        <v>3858</v>
      </c>
    </row>
    <row r="402" spans="1:4">
      <c r="A402" s="2984">
        <v>322</v>
      </c>
      <c r="B402" s="2988" t="s">
        <v>3859</v>
      </c>
      <c r="C402" s="2986">
        <v>25.45</v>
      </c>
      <c r="D402" s="2987" t="s">
        <v>3860</v>
      </c>
    </row>
    <row r="403" spans="1:4">
      <c r="A403" s="2984">
        <v>323</v>
      </c>
      <c r="B403" s="2988" t="s">
        <v>3861</v>
      </c>
      <c r="C403" s="2986">
        <v>25.45</v>
      </c>
      <c r="D403" s="2987" t="s">
        <v>3862</v>
      </c>
    </row>
    <row r="404" spans="1:4">
      <c r="A404" s="2984">
        <v>324</v>
      </c>
      <c r="B404" s="2988" t="s">
        <v>3863</v>
      </c>
      <c r="C404" s="2986">
        <v>25.45</v>
      </c>
      <c r="D404" s="2987" t="s">
        <v>3864</v>
      </c>
    </row>
    <row r="405" spans="1:4">
      <c r="A405" s="2984">
        <v>325</v>
      </c>
      <c r="B405" s="2988" t="s">
        <v>3865</v>
      </c>
      <c r="C405" s="2986">
        <v>23.74</v>
      </c>
      <c r="D405" s="2987" t="s">
        <v>3866</v>
      </c>
    </row>
    <row r="406" spans="1:4">
      <c r="A406" s="2984">
        <v>326</v>
      </c>
      <c r="B406" s="2988" t="s">
        <v>3867</v>
      </c>
      <c r="C406" s="2986">
        <v>22.67</v>
      </c>
      <c r="D406" s="2987" t="s">
        <v>3868</v>
      </c>
    </row>
    <row r="407" spans="1:4">
      <c r="A407" s="2984">
        <v>327</v>
      </c>
      <c r="B407" s="2988" t="s">
        <v>3869</v>
      </c>
      <c r="C407" s="2986">
        <v>20.329999999999998</v>
      </c>
      <c r="D407" s="2987" t="s">
        <v>3870</v>
      </c>
    </row>
    <row r="408" spans="1:4">
      <c r="A408" s="2984">
        <v>328</v>
      </c>
      <c r="B408" s="2988" t="s">
        <v>3871</v>
      </c>
      <c r="C408" s="2986">
        <v>24.55</v>
      </c>
      <c r="D408" s="2987" t="s">
        <v>3872</v>
      </c>
    </row>
    <row r="409" spans="1:4">
      <c r="A409" s="2984">
        <v>329</v>
      </c>
      <c r="B409" s="2988" t="s">
        <v>3873</v>
      </c>
      <c r="C409" s="2986">
        <v>25.78</v>
      </c>
      <c r="D409" s="2987" t="s">
        <v>3874</v>
      </c>
    </row>
    <row r="410" spans="1:4">
      <c r="A410" s="2984">
        <v>330</v>
      </c>
      <c r="B410" s="2988" t="s">
        <v>3875</v>
      </c>
      <c r="C410" s="2986">
        <v>177.75</v>
      </c>
      <c r="D410" s="2987" t="s">
        <v>3876</v>
      </c>
    </row>
    <row r="411" spans="1:4">
      <c r="A411" s="2984">
        <v>331</v>
      </c>
      <c r="B411" s="2988" t="s">
        <v>3877</v>
      </c>
      <c r="C411" s="2986">
        <v>216.84</v>
      </c>
      <c r="D411" s="2987" t="s">
        <v>3878</v>
      </c>
    </row>
    <row r="412" spans="1:4">
      <c r="A412" s="2984">
        <v>332</v>
      </c>
      <c r="B412" s="2988" t="s">
        <v>3879</v>
      </c>
      <c r="C412" s="2986">
        <v>36.5</v>
      </c>
      <c r="D412" s="2987" t="s">
        <v>3880</v>
      </c>
    </row>
    <row r="413" spans="1:4">
      <c r="A413" s="2984">
        <v>333</v>
      </c>
      <c r="B413" s="2988" t="s">
        <v>3881</v>
      </c>
      <c r="C413" s="2986">
        <v>36.78</v>
      </c>
      <c r="D413" s="2987" t="s">
        <v>3882</v>
      </c>
    </row>
    <row r="414" spans="1:4">
      <c r="A414" s="2984">
        <v>334</v>
      </c>
      <c r="B414" s="2988" t="s">
        <v>3883</v>
      </c>
      <c r="C414" s="2986">
        <v>34.29</v>
      </c>
      <c r="D414" s="2987" t="s">
        <v>3884</v>
      </c>
    </row>
    <row r="415" spans="1:4">
      <c r="A415" s="2984">
        <v>335</v>
      </c>
      <c r="B415" s="2988" t="s">
        <v>3885</v>
      </c>
      <c r="C415" s="2986">
        <v>35.409999999999997</v>
      </c>
      <c r="D415" s="2987" t="s">
        <v>3886</v>
      </c>
    </row>
    <row r="416" spans="1:4">
      <c r="A416" s="2984">
        <v>336</v>
      </c>
      <c r="B416" s="2988" t="s">
        <v>3887</v>
      </c>
      <c r="C416" s="2986">
        <v>28.48</v>
      </c>
      <c r="D416" s="2987" t="s">
        <v>3888</v>
      </c>
    </row>
    <row r="417" spans="1:4">
      <c r="A417" s="2984">
        <v>337</v>
      </c>
      <c r="B417" s="2988" t="s">
        <v>3889</v>
      </c>
      <c r="C417" s="2986">
        <v>39.729999999999997</v>
      </c>
      <c r="D417" s="2987" t="s">
        <v>3890</v>
      </c>
    </row>
    <row r="418" spans="1:4">
      <c r="A418" s="2984">
        <v>338</v>
      </c>
      <c r="B418" s="2988" t="s">
        <v>3891</v>
      </c>
      <c r="C418" s="2986">
        <v>40.1</v>
      </c>
      <c r="D418" s="2987" t="s">
        <v>3892</v>
      </c>
    </row>
    <row r="419" spans="1:4">
      <c r="A419" s="2984" t="s">
        <v>3893</v>
      </c>
      <c r="B419" s="2988"/>
      <c r="C419" s="2991">
        <f>SUM(C81:C418)</f>
        <v>9986.5800000000145</v>
      </c>
      <c r="D419" s="2992"/>
    </row>
    <row r="420" spans="1:4" ht="14.25">
      <c r="A420" s="2993"/>
      <c r="B420" s="2993"/>
      <c r="C420" s="2993"/>
      <c r="D420" s="2994"/>
    </row>
    <row r="421" spans="1:4" ht="14.25">
      <c r="A421" s="2993"/>
      <c r="B421" s="2993" t="s">
        <v>3894</v>
      </c>
      <c r="C421" s="2993">
        <v>4818.03</v>
      </c>
      <c r="D421" s="2994"/>
    </row>
    <row r="422" spans="1:4" ht="14.25">
      <c r="A422" s="2993"/>
      <c r="B422" s="2993" t="s">
        <v>3895</v>
      </c>
      <c r="C422" s="2993">
        <v>5168.55</v>
      </c>
      <c r="D422" s="2994"/>
    </row>
    <row r="423" spans="1:4">
      <c r="B423" s="2977"/>
      <c r="C423" s="2978"/>
    </row>
    <row r="424" spans="1:4">
      <c r="B424" s="2977"/>
      <c r="C424" s="2978"/>
    </row>
  </sheetData>
  <mergeCells count="4">
    <mergeCell ref="A1:D1"/>
    <mergeCell ref="F3:F12"/>
    <mergeCell ref="F61:F65"/>
    <mergeCell ref="A79:D79"/>
  </mergeCells>
  <phoneticPr fontId="145" type="noConversion"/>
  <pageMargins left="0.7" right="0.7" top="0.75" bottom="0.75" header="0.3" footer="0.3"/>
  <pageSetup paperSize="9" orientation="portrait" horizontalDpi="200" verticalDpi="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30316</v>
      </c>
      <c r="C2" s="2" t="s">
        <v>133</v>
      </c>
      <c r="D2" s="243"/>
      <c r="E2" s="243"/>
      <c r="F2" s="243"/>
      <c r="G2" s="243"/>
    </row>
    <row r="3" spans="1:7" s="244" customFormat="1" ht="18" customHeight="1" thickBot="1">
      <c r="A3" s="247" t="s">
        <v>85</v>
      </c>
      <c r="B3" s="248">
        <f ca="1">ROUND(B2*10000/'数据-汇总表'!E3,0)</f>
        <v>12019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165</v>
      </c>
      <c r="F9" s="265"/>
      <c r="G9" s="270"/>
    </row>
    <row r="10" spans="1:7" s="258" customFormat="1" ht="13.5" customHeight="1">
      <c r="A10" s="953" t="s">
        <v>801</v>
      </c>
      <c r="B10" s="268" t="s">
        <v>94</v>
      </c>
      <c r="C10" s="269">
        <f>ROUND(D10*E10/10000,0)</f>
        <v>504</v>
      </c>
      <c r="D10" s="1035">
        <f>'数据-汇总表'!E6</f>
        <v>25223.160000000011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504</v>
      </c>
      <c r="D19" s="1039">
        <f>'数据-汇总表'!E3</f>
        <v>25223.160000000011</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2622</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62</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3230</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3230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504</v>
      </c>
      <c r="D37" s="261">
        <f>'数据-汇总表'!E3</f>
        <v>25223.160000000011</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33</v>
      </c>
      <c r="D41" s="279">
        <f ca="1">C44</f>
        <v>1.1999999999999999E-3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v>
      </c>
      <c r="D42" s="282"/>
      <c r="E42" s="282"/>
      <c r="F42" s="283"/>
      <c r="G42" s="3185" t="s">
        <v>121</v>
      </c>
    </row>
    <row r="43" spans="1:7" ht="13.5" customHeight="1">
      <c r="A43" s="954" t="s">
        <v>792</v>
      </c>
      <c r="B43" s="259" t="s">
        <v>1064</v>
      </c>
      <c r="C43" s="282">
        <f ca="1">ROUND(IF('数据-取费表'!B22&lt;=1,C39*F22*'数据-取费表'!B21/2,C39*(POWER((1+F22),'数据-取费表'!B21/2)-1)),0)</f>
        <v>1</v>
      </c>
      <c r="D43" s="282"/>
      <c r="E43" s="282"/>
      <c r="F43" s="283"/>
      <c r="G43" s="3186"/>
    </row>
    <row r="44" spans="1:7" ht="13.5" customHeight="1">
      <c r="A44" s="954" t="s">
        <v>793</v>
      </c>
      <c r="B44" s="259" t="s">
        <v>1066</v>
      </c>
      <c r="C44" s="282">
        <f ca="1">ROUND(IF('数据-取费表'!B22&lt;=1,C40*F22*'数据-取费表'!B21/2,C40*(POWER((1+F22),'数据-取费表'!B21/2)-1)),4)</f>
        <v>1.1999999999999999E-3</v>
      </c>
      <c r="D44" s="282"/>
      <c r="E44" s="282"/>
      <c r="F44" s="283"/>
      <c r="G44" s="3187"/>
    </row>
    <row r="45" spans="1:7" s="258" customFormat="1" ht="13.5" customHeight="1">
      <c r="A45" s="951" t="s">
        <v>786</v>
      </c>
      <c r="B45" s="288" t="s">
        <v>112</v>
      </c>
      <c r="C45" s="289">
        <f>C46</f>
        <v>82</v>
      </c>
      <c r="D45" s="279">
        <f>C47</f>
        <v>3.0000000000000001E-3</v>
      </c>
      <c r="E45" s="280" t="s">
        <v>129</v>
      </c>
      <c r="F45" s="290"/>
      <c r="G45" s="291" t="s">
        <v>1072</v>
      </c>
    </row>
    <row r="46" spans="1:7" s="258" customFormat="1" ht="13.5" customHeight="1">
      <c r="A46" s="954" t="s">
        <v>794</v>
      </c>
      <c r="B46" s="292" t="s">
        <v>1065</v>
      </c>
      <c r="C46" s="293">
        <f>ROUND((C33+C39)*F27,0)</f>
        <v>82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720</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626</v>
      </c>
      <c r="D51" s="276"/>
      <c r="E51" s="276"/>
      <c r="F51" s="308"/>
      <c r="G51" s="278" t="s">
        <v>64</v>
      </c>
    </row>
    <row r="52" spans="1:7" s="252" customFormat="1" ht="16.5" thickBot="1">
      <c r="A52" s="309" t="s">
        <v>65</v>
      </c>
      <c r="B52" s="310"/>
      <c r="C52" s="311">
        <f ca="1">C31+C51</f>
        <v>30316</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0" t="s">
        <v>156</v>
      </c>
      <c r="B1" s="3330"/>
      <c r="C1" s="3330"/>
      <c r="D1" s="3330"/>
      <c r="E1" s="3330"/>
      <c r="F1" s="33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1" t="s">
        <v>169</v>
      </c>
      <c r="B2" s="3331"/>
      <c r="C2" s="3331"/>
      <c r="D2" s="3331"/>
      <c r="E2" s="3331"/>
      <c r="F2" s="33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0" t="s">
        <v>871</v>
      </c>
      <c r="B1" s="333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43362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1641</v>
      </c>
      <c r="B2" s="3020" t="s">
        <v>1642</v>
      </c>
      <c r="C2" s="3020" t="s">
        <v>1643</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7" t="s">
        <v>1638</v>
      </c>
      <c r="E3" s="1047" t="s">
        <v>1644</v>
      </c>
      <c r="F3" s="1047" t="s">
        <v>1638</v>
      </c>
      <c r="G3" s="1047" t="s">
        <v>1639</v>
      </c>
      <c r="H3" s="1047" t="s">
        <v>1638</v>
      </c>
      <c r="I3" s="1047" t="s">
        <v>1639</v>
      </c>
    </row>
    <row r="4" spans="1:9" ht="15">
      <c r="A4" s="1976" t="str">
        <f>项目基本情况!S2</f>
        <v>天津市房地产</v>
      </c>
      <c r="B4" s="1047">
        <f>项目基本情况!C17</f>
        <v>25223.160000000011</v>
      </c>
      <c r="C4" s="1047">
        <f>项目基本情况!C18</f>
        <v>0</v>
      </c>
      <c r="D4" s="1047" t="e">
        <f ca="1">结果表!D118</f>
        <v>#REF!</v>
      </c>
      <c r="E4" s="1047" t="e">
        <f ca="1">结果表!E118</f>
        <v>#REF!</v>
      </c>
      <c r="F4" s="1047" t="e">
        <f ca="1">结果表!F118</f>
        <v>#REF!</v>
      </c>
      <c r="G4" s="1047" t="e">
        <f ca="1">结果表!G118</f>
        <v>#REF!</v>
      </c>
      <c r="H4" s="1047">
        <f ca="1">结果表!H118</f>
        <v>214</v>
      </c>
      <c r="I4" s="1047">
        <f ca="1">结果表!I118</f>
        <v>85</v>
      </c>
    </row>
    <row r="5" spans="1:9" ht="30" customHeight="1">
      <c r="A5" s="3014" t="s">
        <v>1640</v>
      </c>
      <c r="B5" s="3014"/>
      <c r="C5" s="3014"/>
      <c r="D5" s="3015" t="e">
        <f ca="1">结果表!D119</f>
        <v>#REF!</v>
      </c>
      <c r="E5" s="3015"/>
      <c r="F5" s="3015" t="e">
        <f ca="1">结果表!F119</f>
        <v>#REF!</v>
      </c>
      <c r="G5" s="3015"/>
      <c r="H5" s="3015" t="str">
        <f ca="1">结果表!H119</f>
        <v>贰佰壹拾肆万元整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1640</v>
      </c>
      <c r="B7" s="3014"/>
      <c r="C7" s="3014"/>
      <c r="D7" s="3016" t="str">
        <f>结果表!D121</f>
        <v>零元整</v>
      </c>
      <c r="E7" s="3017"/>
      <c r="F7" s="3017"/>
      <c r="G7" s="3017"/>
      <c r="H7" s="3017"/>
      <c r="I7" s="3018"/>
    </row>
    <row r="8" spans="1:9" ht="15.75">
      <c r="A8" s="3013" t="str">
        <f>结果表!A122</f>
        <v>房地产抵押价值</v>
      </c>
      <c r="B8" s="3013"/>
      <c r="C8" s="3013"/>
      <c r="D8" s="3013">
        <f ca="1">结果表!D122</f>
        <v>214</v>
      </c>
      <c r="E8" s="3013"/>
      <c r="F8" s="3013"/>
      <c r="G8" s="3013"/>
      <c r="H8" s="3013"/>
      <c r="I8" s="3013"/>
    </row>
    <row r="9" spans="1:9" ht="15">
      <c r="A9" s="3014" t="s">
        <v>1640</v>
      </c>
      <c r="B9" s="3014"/>
      <c r="C9" s="3014"/>
      <c r="D9" s="3015" t="str">
        <f ca="1">结果表!D123</f>
        <v>贰佰壹拾肆万元整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1640</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1640</v>
      </c>
      <c r="B13" s="3010"/>
      <c r="C13" s="3010"/>
      <c r="D13" s="3011" t="e">
        <f>结果表!D127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7" t="s">
        <v>1662</v>
      </c>
      <c r="B1" s="3027"/>
      <c r="C1" s="3027"/>
      <c r="D1" s="3027"/>
    </row>
    <row r="2" spans="1:4" ht="18">
      <c r="A2" s="3028" t="s">
        <v>1646</v>
      </c>
      <c r="B2" s="3028"/>
      <c r="C2" s="3028"/>
      <c r="D2" s="3028"/>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28" t="s">
        <v>1652</v>
      </c>
      <c r="B6" s="3028"/>
      <c r="C6" s="3028"/>
      <c r="D6" s="302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5" t="s">
        <v>1669</v>
      </c>
      <c r="B15" s="3030" t="s">
        <v>136</v>
      </c>
      <c r="C15" s="3031"/>
    </row>
    <row r="16" spans="1:7" ht="13.5">
      <c r="A16" s="3036"/>
      <c r="B16" s="3030" t="s">
        <v>69</v>
      </c>
      <c r="C16" s="3031"/>
    </row>
    <row r="17" spans="1:3" ht="13.5">
      <c r="A17" s="3036"/>
      <c r="B17" s="3033" t="s">
        <v>1670</v>
      </c>
      <c r="C17" s="2003" t="s">
        <v>1669</v>
      </c>
    </row>
    <row r="18" spans="1:3" ht="13.5">
      <c r="A18" s="3036"/>
      <c r="B18" s="3033"/>
      <c r="C18" s="2003" t="s">
        <v>1671</v>
      </c>
    </row>
    <row r="19" spans="1:3" ht="13.5">
      <c r="A19" s="3036"/>
      <c r="B19" s="3033"/>
      <c r="C19" s="2003" t="s">
        <v>1672</v>
      </c>
    </row>
    <row r="20" spans="1:3" ht="13.5">
      <c r="A20" s="3037"/>
      <c r="B20" s="3032" t="s">
        <v>1673</v>
      </c>
      <c r="C20" s="3031"/>
    </row>
    <row r="21" spans="1:3" ht="13.5">
      <c r="A21" s="2004" t="s">
        <v>1674</v>
      </c>
      <c r="B21" s="2005"/>
      <c r="C21" s="2006"/>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2003" t="s">
        <v>1680</v>
      </c>
    </row>
    <row r="26" spans="1:3" ht="13.5">
      <c r="A26" s="3034"/>
      <c r="B26" s="3033"/>
      <c r="C26" s="2003" t="s">
        <v>1681</v>
      </c>
    </row>
    <row r="27" spans="1:3" ht="13.5">
      <c r="A27" s="3034"/>
      <c r="B27" s="3033"/>
      <c r="C27" s="2003" t="s">
        <v>1682</v>
      </c>
    </row>
    <row r="28" spans="1:3" ht="13.5">
      <c r="A28" s="3034"/>
      <c r="B28" s="3033"/>
      <c r="C28" s="2003" t="s">
        <v>1683</v>
      </c>
    </row>
    <row r="29" spans="1:3" ht="13.5">
      <c r="A29" s="3034"/>
      <c r="B29" s="3033"/>
      <c r="C29" s="2003" t="s">
        <v>1684</v>
      </c>
    </row>
    <row r="30" spans="1:3" ht="13.5">
      <c r="A30" s="3034"/>
      <c r="B30" s="3033"/>
      <c r="C30" s="2003" t="s">
        <v>1685</v>
      </c>
    </row>
    <row r="31" spans="1:3" ht="13.5">
      <c r="A31" s="3034"/>
      <c r="B31" s="3033"/>
      <c r="C31" s="2003" t="s">
        <v>1686</v>
      </c>
    </row>
    <row r="32" spans="1:3" ht="13.5">
      <c r="A32" s="3034"/>
      <c r="B32" s="3033"/>
      <c r="C32" s="2003" t="s">
        <v>1687</v>
      </c>
    </row>
    <row r="33" spans="1:3" ht="13.5">
      <c r="A33" s="3034"/>
      <c r="B33" s="303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3050</v>
      </c>
      <c r="B12" s="1025">
        <v>1120110054</v>
      </c>
      <c r="C12" s="2946">
        <v>43937</v>
      </c>
      <c r="D12" s="1705" t="s">
        <v>3050</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38" t="s">
        <v>846</v>
      </c>
      <c r="B25" s="3038"/>
      <c r="C25" s="3038"/>
      <c r="D25" s="3038"/>
      <c r="E25" s="3038"/>
      <c r="F25" s="3038"/>
      <c r="G25" s="3038"/>
    </row>
    <row r="26" spans="1:7" s="1028" customFormat="1" ht="24" customHeight="1">
      <c r="A26" s="3039" t="s">
        <v>847</v>
      </c>
      <c r="B26" s="3039"/>
      <c r="C26" s="3040"/>
      <c r="D26" s="3041" t="s">
        <v>848</v>
      </c>
      <c r="E26" s="3039"/>
      <c r="F26" s="303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典型户型修正（上）</vt:lpstr>
      <vt:lpstr>典型户型修正 (下)</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(下)'!一修多修正项2</vt:lpstr>
      <vt:lpstr>一修多修正项2</vt:lpstr>
      <vt:lpstr>'典型户型修正 (下)'!一修多修正项3</vt:lpstr>
      <vt:lpstr>一修多修正项3</vt:lpstr>
      <vt:lpstr>'典型户型修正 (下)'!一修多修正项4</vt:lpstr>
      <vt:lpstr>一修多修正项4</vt:lpstr>
      <vt:lpstr>'典型户型修正 (下)'!一修多修正项5</vt:lpstr>
      <vt:lpstr>一修多修正项5</vt:lpstr>
      <vt:lpstr>'典型户型修正 (下)'!一修多修正项6</vt:lpstr>
      <vt:lpstr>一修多修正项6</vt:lpstr>
      <vt:lpstr>'典型户型修正 (下)'!一修多修正项7</vt:lpstr>
      <vt:lpstr>一修多修正项7</vt:lpstr>
      <vt:lpstr>'典型户型修正 (下)'!一修多修正项8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2018-09-21T01:50:48Z</dcterms:modified>
</cp:coreProperties>
</file>