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ownloads\"/>
    </mc:Choice>
  </mc:AlternateContent>
  <bookViews>
    <workbookView xWindow="0" yWindow="0" windowWidth="25600" windowHeight="1061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办公租金" sheetId="86"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3" r:id="rId47"/>
    <sheet name="售价" sheetId="94" r:id="rId48"/>
  </sheets>
  <externalReferences>
    <externalReference r:id="rId49"/>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37" i="86" l="1"/>
  <c r="R76" i="94" l="1"/>
  <c r="Q36" i="94"/>
  <c r="Q35" i="94"/>
  <c r="I10" i="34"/>
  <c r="G10" i="34"/>
  <c r="E10" i="34"/>
  <c r="C10" i="34"/>
  <c r="C45" i="86" l="1"/>
  <c r="E45" i="86" s="1"/>
  <c r="G45" i="86" l="1"/>
  <c r="C45" i="34"/>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E84" i="86"/>
  <c r="F84" i="86" s="1"/>
  <c r="G84" i="86" s="1"/>
  <c r="D84" i="86"/>
  <c r="D82" i="86"/>
  <c r="E82" i="86" s="1"/>
  <c r="F82" i="86" s="1"/>
  <c r="G82" i="86" s="1"/>
  <c r="E80" i="86"/>
  <c r="F80" i="86" s="1"/>
  <c r="G80" i="86" s="1"/>
  <c r="D80" i="86"/>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67" i="34"/>
  <c r="E67" i="34" s="1"/>
  <c r="F67" i="34" s="1"/>
  <c r="G67" i="34"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F43" i="86" l="1"/>
  <c r="H43" i="86"/>
  <c r="N21" i="1"/>
  <c r="N6" i="1"/>
  <c r="S45" i="86"/>
  <c r="S44" i="86"/>
  <c r="W9" i="86"/>
  <c r="AB30" i="86"/>
  <c r="AB27" i="86"/>
  <c r="W40" i="86"/>
  <c r="U40" i="86"/>
  <c r="S40" i="86"/>
  <c r="AA27" i="86"/>
  <c r="AC27" i="86"/>
  <c r="AC43" i="86"/>
  <c r="W43" i="86"/>
  <c r="AA43" i="86"/>
  <c r="S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J49" i="67" l="1"/>
  <c r="D3" i="4"/>
  <c r="C37" i="86" l="1"/>
  <c r="G37" i="86" s="1"/>
  <c r="C37" i="34"/>
  <c r="C36" i="33"/>
  <c r="Y6" i="1"/>
  <c r="C60" i="78"/>
  <c r="D60" i="78" s="1"/>
  <c r="D53" i="78"/>
  <c r="D52" i="78"/>
  <c r="D51" i="78" s="1"/>
  <c r="B51" i="78"/>
  <c r="B56" i="78" s="1"/>
  <c r="G37" i="34" l="1"/>
  <c r="I37" i="34"/>
  <c r="E37" i="34"/>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N35" i="71"/>
  <c r="Q34" i="7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C34" i="71"/>
  <c r="D34" i="71" s="1"/>
  <c r="C38" i="71"/>
  <c r="D38" i="71" s="1"/>
  <c r="D50" i="71"/>
  <c r="P28" i="71"/>
  <c r="E28" i="71" s="1"/>
  <c r="U68" i="71"/>
  <c r="E67" i="71"/>
  <c r="P67" i="71" s="1"/>
  <c r="Q28" i="71"/>
  <c r="F28" i="71" s="1"/>
  <c r="D58" i="71"/>
  <c r="C63" i="71"/>
  <c r="C64" i="71" s="1"/>
  <c r="T68" i="71"/>
  <c r="O68" i="71"/>
  <c r="D68" i="71"/>
  <c r="C67" i="71"/>
  <c r="D67" i="71" s="1"/>
  <c r="E71" i="71"/>
  <c r="E70" i="71" s="1"/>
  <c r="D72" i="71"/>
  <c r="D76"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U29" i="39"/>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61" i="31"/>
  <c r="S457" i="31"/>
  <c r="S453"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U34" i="35"/>
  <c r="F36" i="34"/>
  <c r="S36" i="34" s="1"/>
  <c r="J35" i="34"/>
  <c r="W35" i="34" s="1"/>
  <c r="H39" i="33"/>
  <c r="AB39" i="33" s="1"/>
  <c r="F26" i="33"/>
  <c r="AA26"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c r="H44" i="21"/>
  <c r="U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BA524" i="3"/>
  <c r="AZ524" i="3" s="1"/>
  <c r="BA522" i="3"/>
  <c r="BA520" i="3"/>
  <c r="BA518" i="3"/>
  <c r="BA516" i="3"/>
  <c r="BA514" i="3"/>
  <c r="BA512" i="3"/>
  <c r="BA510" i="3"/>
  <c r="BA508" i="3"/>
  <c r="BA506" i="3"/>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S24" i="36"/>
  <c r="U23"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AA19" i="34"/>
  <c r="AA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AC32" i="33"/>
  <c r="W32" i="33"/>
  <c r="G87" i="33"/>
  <c r="H87" i="33"/>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D6" i="52"/>
  <c r="AP7" i="1"/>
  <c r="AB45" i="21"/>
  <c r="AA32" i="21"/>
  <c r="S32" i="21"/>
  <c r="AB32" i="21"/>
  <c r="U32" i="21"/>
  <c r="J11" i="37"/>
  <c r="AC11" i="37" s="1"/>
  <c r="J11" i="34"/>
  <c r="W11" i="34" s="1"/>
  <c r="U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M26" i="15"/>
  <c r="F26" i="15"/>
  <c r="E8" i="76"/>
  <c r="J15" i="15"/>
  <c r="M6" i="15"/>
  <c r="E9" i="76"/>
  <c r="F20" i="31"/>
  <c r="E10" i="76"/>
  <c r="F36" i="15"/>
  <c r="M29" i="15"/>
  <c r="F40" i="15"/>
  <c r="C76" i="15"/>
  <c r="E2" i="68"/>
  <c r="M22" i="15"/>
  <c r="M23" i="15"/>
  <c r="E13" i="76"/>
  <c r="B9" i="76"/>
  <c r="F4" i="73"/>
  <c r="D6" i="73"/>
  <c r="B13" i="76"/>
  <c r="B12" i="76"/>
  <c r="E11" i="76"/>
  <c r="F37" i="67"/>
  <c r="AO13" i="1"/>
  <c r="E12" i="76"/>
  <c r="F6" i="15"/>
  <c r="F6" i="73"/>
  <c r="F5" i="73"/>
  <c r="F3" i="73"/>
  <c r="F8" i="15"/>
  <c r="B7" i="76"/>
  <c r="E2" i="69"/>
  <c r="F42" i="15"/>
  <c r="M24" i="15"/>
  <c r="F37" i="15"/>
  <c r="B10" i="76"/>
  <c r="F7" i="73"/>
  <c r="B11" i="76"/>
  <c r="M8" i="15"/>
  <c r="B8" i="76"/>
  <c r="L47" i="15"/>
  <c r="E7" i="76"/>
  <c r="F9" i="15"/>
  <c r="F16" i="15"/>
  <c r="F38" i="15"/>
  <c r="F43" i="15"/>
  <c r="AA44" i="21" l="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U27" i="34"/>
  <c r="W8" i="34"/>
  <c r="K54" i="43"/>
  <c r="J54" i="43" s="1"/>
  <c r="E7" i="33"/>
  <c r="I7" i="33"/>
  <c r="G7" i="33"/>
  <c r="S36" i="33"/>
  <c r="F7" i="1"/>
  <c r="F6" i="1"/>
  <c r="G6" i="1" s="1"/>
  <c r="W44" i="33"/>
  <c r="AA44" i="33"/>
  <c r="H34" i="33"/>
  <c r="U34" i="33" s="1"/>
  <c r="J34" i="33"/>
  <c r="W34" i="33" s="1"/>
  <c r="F34" i="33"/>
  <c r="S34" i="33" s="1"/>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BL58" i="3"/>
  <c r="G60" i="3"/>
  <c r="BA60" i="3"/>
  <c r="AZ60" i="3" s="1"/>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F38" i="67"/>
  <c r="F26" i="67"/>
  <c r="M28" i="67"/>
  <c r="D5" i="73"/>
  <c r="L48" i="67"/>
  <c r="F7" i="15"/>
  <c r="F36" i="67"/>
  <c r="M8" i="67"/>
  <c r="F16" i="67"/>
  <c r="M9" i="15"/>
  <c r="L47" i="67"/>
  <c r="D7" i="73"/>
  <c r="J15" i="67"/>
  <c r="L48" i="15"/>
  <c r="M6" i="67"/>
  <c r="F13" i="67"/>
  <c r="F40" i="67"/>
  <c r="C16" i="15"/>
  <c r="D4" i="73"/>
  <c r="M22" i="67"/>
  <c r="M23" i="67"/>
  <c r="M28" i="15"/>
  <c r="D3" i="73"/>
  <c r="M24" i="67"/>
  <c r="F42" i="67"/>
  <c r="C76" i="67"/>
  <c r="F9" i="67"/>
  <c r="M26" i="67"/>
  <c r="M9" i="67"/>
  <c r="F8" i="67"/>
  <c r="F13" i="15"/>
  <c r="AZ429" i="3" l="1"/>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G1" i="73"/>
  <c r="AE6" i="1"/>
  <c r="AC7" i="37" l="1"/>
  <c r="E30" i="6"/>
  <c r="E51" i="40"/>
  <c r="J69" i="43"/>
  <c r="D69" i="43"/>
  <c r="J67" i="43"/>
  <c r="D67" i="43"/>
  <c r="J66" i="43"/>
  <c r="D66" i="43"/>
  <c r="J63" i="43"/>
  <c r="D63" i="43"/>
  <c r="J61" i="43"/>
  <c r="D61" i="43"/>
  <c r="E61" i="43" s="1"/>
  <c r="B59" i="43" s="1"/>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15"/>
  <c r="M27" i="67"/>
  <c r="F41" i="15"/>
  <c r="AY307" i="3" l="1"/>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6"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F7" i="67"/>
  <c r="M29" i="67"/>
  <c r="C17" i="15"/>
  <c r="D12" i="6" l="1"/>
  <c r="D21" i="6"/>
  <c r="D10" i="68"/>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30" i="6" s="1"/>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C15" i="12"/>
  <c r="C12" i="12"/>
  <c r="C10" i="68"/>
  <c r="D19" i="68"/>
  <c r="H69" i="39"/>
  <c r="I67" i="39"/>
  <c r="G65" i="40"/>
  <c r="H63" i="40"/>
  <c r="C43" i="37"/>
  <c r="C42" i="37"/>
  <c r="I48" i="35"/>
  <c r="C48" i="33"/>
  <c r="C49" i="33"/>
  <c r="H58" i="21"/>
  <c r="E47" i="37"/>
  <c r="F47" i="37" s="1"/>
  <c r="E46" i="37"/>
  <c r="F46" i="37" s="1"/>
  <c r="I47" i="37"/>
  <c r="J47" i="37" s="1"/>
  <c r="E53" i="33"/>
  <c r="F53" i="33" s="1"/>
  <c r="E52" i="33"/>
  <c r="F52" i="33" s="1"/>
  <c r="C33" i="15"/>
  <c r="C14" i="15"/>
  <c r="C16" i="67"/>
  <c r="A7" i="51" l="1"/>
  <c r="B7" i="72" s="1"/>
  <c r="D19" i="69"/>
  <c r="D37" i="69" s="1"/>
  <c r="C37" i="69" s="1"/>
  <c r="C33" i="69" s="1"/>
  <c r="C6" i="69"/>
  <c r="F10" i="39"/>
  <c r="S10" i="39" s="1"/>
  <c r="D27" i="6"/>
  <c r="D31" i="6" s="1"/>
  <c r="I6" i="6" s="1"/>
  <c r="D16" i="6"/>
  <c r="J10" i="40"/>
  <c r="W10" i="40" s="1"/>
  <c r="D7" i="74"/>
  <c r="H10" i="40"/>
  <c r="AB10" i="40" s="1"/>
  <c r="F10" i="40"/>
  <c r="S10" i="40" s="1"/>
  <c r="H10" i="39"/>
  <c r="U10" i="39" s="1"/>
  <c r="C66" i="67"/>
  <c r="J18" i="67"/>
  <c r="J19" i="67"/>
  <c r="C10" i="69"/>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AA10" i="39"/>
  <c r="F45" i="68"/>
  <c r="C29" i="68"/>
  <c r="D27" i="68" s="1"/>
  <c r="C47" i="68"/>
  <c r="D45" i="68" s="1"/>
  <c r="N16" i="1"/>
  <c r="L16" i="1"/>
  <c r="U10" i="40"/>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M23" i="43" l="1"/>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C17" i="67"/>
  <c r="E6" i="76"/>
  <c r="C8" i="68" l="1"/>
  <c r="C5" i="68" s="1"/>
  <c r="C18" i="12"/>
  <c r="C21" i="12" s="1"/>
  <c r="E54" i="34"/>
  <c r="F54" i="34" s="1"/>
  <c r="E53" i="34"/>
  <c r="F53" i="34" s="1"/>
  <c r="C50" i="34"/>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M21" i="15"/>
  <c r="B6" i="76"/>
  <c r="F35" i="15"/>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35" i="67"/>
  <c r="D2" i="33"/>
  <c r="M21"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7"/>
  <c r="D2" i="36"/>
  <c r="L51" i="15"/>
  <c r="D2" i="34"/>
  <c r="D2" i="35"/>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0" i="1"/>
  <c r="AO7" i="1"/>
  <c r="AO11" i="1"/>
  <c r="AO12" i="1"/>
  <c r="AO9" i="1"/>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AO6" i="1"/>
  <c r="D19" i="9"/>
  <c r="D22" i="9" l="1"/>
  <c r="D21" i="9"/>
  <c r="G19" i="9"/>
  <c r="D14" i="74" s="1"/>
  <c r="D102" i="9"/>
  <c r="B6" i="70"/>
  <c r="B2" i="70" s="1"/>
  <c r="B3" i="70" s="1"/>
  <c r="B3" i="67"/>
  <c r="D34" i="9"/>
  <c r="D20" i="9"/>
  <c r="D35"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<sst xmlns="http://schemas.openxmlformats.org/spreadsheetml/2006/main" count="8384" uniqueCount="3533">
  <si>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</si>
  <si>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</si>
  <si>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</si>
  <si>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</si>
  <si>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</si>
  <si>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</si>
  <si>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</si>
  <si>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</si>
  <si>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</si>
  <si>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</si>
  <si>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</si>
  <si>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</si>
  <si>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</si>
  <si>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</si>
  <si>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</si>
  <si>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</si>
  <si>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</si>
  <si>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</si>
  <si>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</si>
  <si>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</si>
  <si>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</si>
  <si>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</si>
  <si>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</si>
  <si>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</si>
  <si>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</si>
  <si>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</si>
  <si>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</si>
  <si>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</si>
  <si>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</si>
  <si>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</si>
  <si>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</si>
  <si>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</si>
  <si>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</si>
  <si>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</si>
  <si>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</si>
  <si>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</si>
  <si>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</si>
  <si>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</si>
  <si>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</si>
  <si>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</si>
  <si>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</si>
  <si>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</si>
  <si>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</si>
  <si>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</si>
  <si>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</si>
  <si>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</si>
  <si>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</si>
  <si>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</si>
  <si>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</si>
  <si>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</si>
  <si>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</si>
  <si>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</si>
  <si>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</si>
  <si>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</si>
  <si>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</si>
  <si>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</si>
  <si>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</si>
  <si>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</si>
  <si>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</si>
  <si>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</si>
  <si>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</si>
  <si>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</si>
  <si>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</si>
  <si>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</si>
  <si>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</si>
  <si>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</si>
  <si>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</si>
  <si>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</si>
  <si>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</si>
  <si>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</si>
  <si>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</si>
  <si>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</si>
  <si>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</si>
  <si>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</si>
  <si>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</si>
  <si>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</si>
  <si>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</si>
  <si>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</si>
  <si>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</si>
  <si>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</si>
  <si>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</si>
  <si>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</si>
  <si>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</si>
  <si>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</si>
  <si>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</si>
  <si>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</si>
  <si>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</si>
  <si>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</si>
  <si>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</si>
  <si>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</si>
  <si>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</si>
  <si>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</si>
  <si>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</si>
  <si>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</si>
  <si>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</si>
  <si>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</si>
  <si>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</si>
  <si>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</si>
  <si>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</si>
  <si>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</si>
  <si>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</si>
  <si>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</si>
  <si>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</si>
  <si>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</si>
  <si>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</si>
  <si>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</si>
  <si>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</si>
  <si>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</si>
  <si>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</si>
  <si>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</si>
  <si>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</si>
  <si>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</si>
  <si>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</si>
  <si>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</si>
  <si>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</si>
  <si>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</si>
  <si>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</si>
  <si>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</si>
  <si>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</si>
  <si>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</si>
  <si>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</si>
  <si>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</si>
  <si>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</si>
  <si>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</si>
  <si>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</si>
  <si>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</si>
  <si>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</si>
  <si>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</si>
  <si>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</si>
  <si>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</si>
  <si>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</si>
  <si>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</si>
  <si>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</si>
  <si>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</si>
  <si>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</si>
  <si>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</si>
  <si>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</si>
  <si>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</si>
  <si>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</si>
  <si>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</si>
  <si>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</si>
  <si>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</si>
  <si>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</si>
  <si>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</si>
  <si>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</si>
  <si>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</si>
  <si>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</si>
  <si>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</si>
  <si>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</si>
  <si>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</si>
  <si>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</si>
  <si>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</si>
  <si>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</si>
  <si>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</si>
  <si>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</si>
  <si>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</si>
  <si>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</si>
  <si>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</si>
  <si>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</si>
  <si>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</si>
  <si>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</si>
  <si>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</si>
  <si>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</si>
  <si>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</si>
  <si>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</si>
  <si>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</si>
  <si>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</si>
  <si>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</si>
  <si>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</si>
  <si>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</si>
  <si>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</si>
  <si>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</si>
  <si>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</si>
  <si>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</si>
  <si>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</si>
  <si>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</si>
  <si>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</si>
  <si>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</si>
  <si>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</si>
  <si>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</si>
  <si>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</si>
  <si>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</si>
  <si>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</si>
  <si>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</si>
  <si>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</si>
  <si>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</si>
  <si>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</si>
  <si>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</si>
  <si>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</si>
  <si>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</si>
  <si>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</si>
  <si>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</si>
  <si>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</si>
  <si>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</si>
  <si>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</si>
  <si>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</si>
  <si>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</si>
  <si>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</si>
  <si>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</si>
  <si>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</si>
  <si>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</si>
  <si>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</si>
  <si>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</si>
  <si>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</si>
  <si>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</si>
  <si>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</si>
  <si>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</si>
  <si>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</si>
  <si>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</si>
  <si>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</si>
  <si>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</si>
  <si>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</si>
  <si>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</si>
  <si>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</si>
  <si>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</si>
  <si>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</si>
  <si>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</si>
  <si>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</si>
  <si>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</si>
  <si>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</si>
  <si>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</si>
  <si>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</si>
  <si>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</si>
  <si>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</si>
  <si>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</si>
  <si>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</si>
  <si>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</si>
  <si>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</si>
  <si>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</si>
  <si>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</si>
  <si>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</si>
  <si>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</si>
  <si>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</si>
  <si>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</si>
  <si>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</si>
  <si>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</si>
  <si>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</si>
  <si>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</si>
  <si>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</si>
  <si>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</si>
  <si>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</si>
  <si>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</si>
  <si>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</si>
  <si>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</si>
  <si>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</si>
  <si>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</si>
  <si>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</si>
  <si>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</si>
  <si>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</si>
  <si>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</si>
  <si>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</si>
  <si>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</si>
  <si>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</si>
  <si>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</si>
  <si>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</si>
  <si>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</si>
  <si>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</si>
  <si>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</si>
  <si>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</si>
  <si>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</si>
  <si>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</si>
  <si>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</si>
  <si>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</si>
  <si>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</si>
  <si>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</si>
  <si>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</si>
  <si>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</si>
  <si>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</si>
  <si>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</si>
  <si>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</si>
  <si>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</si>
  <si>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</si>
  <si>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</si>
  <si>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</si>
  <si>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</si>
  <si>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</si>
  <si>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</si>
  <si>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</si>
  <si>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</si>
  <si>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</si>
  <si>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</si>
  <si>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</si>
  <si>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</si>
  <si>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</si>
  <si>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</si>
  <si>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</si>
  <si>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</si>
  <si>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</si>
  <si>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</si>
  <si>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</si>
  <si>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</si>
  <si>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</si>
  <si>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</si>
  <si>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</si>
  <si>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</si>
  <si>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</si>
  <si>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</si>
  <si>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</si>
  <si>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</si>
  <si>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</si>
  <si>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</si>
  <si>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</si>
  <si>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</si>
  <si>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</si>
  <si>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</si>
  <si>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</si>
  <si>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</si>
  <si>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</si>
  <si>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</si>
  <si>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</si>
  <si>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</si>
  <si>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</si>
  <si>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</si>
  <si>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</si>
  <si>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</si>
  <si>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</si>
  <si>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</si>
  <si>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</si>
  <si>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</si>
  <si>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</si>
  <si>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</si>
  <si>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</si>
  <si>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</si>
  <si>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</si>
  <si>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</si>
  <si>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</si>
  <si>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</si>
  <si>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</si>
  <si>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</si>
  <si>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</si>
  <si>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</si>
  <si>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</si>
  <si>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</si>
  <si>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</si>
  <si>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</si>
  <si>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</si>
  <si>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</si>
  <si>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</si>
  <si>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</si>
  <si>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</si>
  <si>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</si>
  <si>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</si>
  <si>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</si>
  <si>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</si>
  <si>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</si>
  <si>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</si>
  <si>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</si>
  <si>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</si>
  <si>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</si>
  <si>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</si>
  <si>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</si>
  <si>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</si>
  <si>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</si>
  <si>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</si>
  <si>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</si>
  <si>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</si>
  <si>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</si>
  <si>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</si>
  <si>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</si>
  <si>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</si>
  <si>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</si>
  <si>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</si>
  <si>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</si>
  <si>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</si>
  <si>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</si>
  <si>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</si>
  <si>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</si>
  <si>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</si>
  <si>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</si>
  <si>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</si>
  <si>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</si>
  <si>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</si>
  <si>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</si>
  <si>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</si>
  <si>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</si>
  <si>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</si>
  <si>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</si>
  <si>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</si>
  <si>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</si>
  <si>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</si>
  <si>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</si>
  <si>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</si>
  <si>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</si>
  <si>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</si>
  <si>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</si>
  <si>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</si>
  <si>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</si>
  <si>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</si>
  <si>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</si>
  <si>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</si>
  <si>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</si>
  <si>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</si>
  <si>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</si>
  <si>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</si>
  <si>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</si>
  <si>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</si>
  <si>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</si>
  <si>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</si>
  <si>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</si>
  <si>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</si>
  <si>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</si>
  <si>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</si>
  <si>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</si>
  <si>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</si>
  <si>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</si>
  <si>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</si>
  <si>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</si>
  <si>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</si>
  <si>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</si>
  <si>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</si>
  <si>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</si>
  <si>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</si>
  <si>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</si>
  <si>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</si>
  <si>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</si>
  <si>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</si>
  <si>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</si>
  <si>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</si>
  <si>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</si>
  <si>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</si>
  <si>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</si>
  <si>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</si>
  <si>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</si>
  <si>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</si>
  <si>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</si>
  <si>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</si>
  <si>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</si>
  <si>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</si>
  <si>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</si>
  <si>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</si>
  <si>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</si>
  <si>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</si>
  <si>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</si>
  <si>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</si>
  <si>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</si>
  <si>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</si>
  <si>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</si>
  <si>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</si>
  <si>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</si>
  <si>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</si>
  <si>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</si>
  <si>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</si>
  <si>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</si>
  <si>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</si>
  <si>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</si>
  <si>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</si>
  <si>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</si>
  <si>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</si>
  <si>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</si>
  <si>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</si>
  <si>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</si>
  <si>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</si>
  <si>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</si>
  <si>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</si>
  <si>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</si>
  <si>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</si>
  <si>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</si>
  <si>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</si>
  <si>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</si>
  <si>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</si>
  <si>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</si>
  <si>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</si>
  <si>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</si>
  <si>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</si>
  <si>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</si>
  <si>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</si>
  <si>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</si>
  <si>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</si>
  <si>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</si>
  <si>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</si>
  <si>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</si>
  <si>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</si>
  <si>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</si>
  <si>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</si>
  <si>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</si>
  <si>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</si>
  <si>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</si>
  <si>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</si>
  <si>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</si>
  <si>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</si>
  <si>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</si>
  <si>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</si>
  <si>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</si>
  <si>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</si>
  <si>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</si>
  <si>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</si>
  <si>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</si>
  <si>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</si>
  <si>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</si>
  <si>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</si>
  <si>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</si>
  <si>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</si>
  <si>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</si>
  <si>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</si>
  <si>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</si>
  <si>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</si>
  <si>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</si>
  <si>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</si>
  <si>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</si>
  <si>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</si>
  <si>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</si>
  <si>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</si>
  <si>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</si>
  <si>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</si>
  <si>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</si>
  <si>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</si>
  <si>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</si>
  <si>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</si>
  <si>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</si>
  <si>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</si>
  <si>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</si>
  <si>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</si>
  <si>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</si>
  <si>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</si>
  <si>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</si>
  <si>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</si>
  <si>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</si>
  <si>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</si>
  <si>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</si>
  <si>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</si>
  <si>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</si>
  <si>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</si>
  <si>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</si>
  <si>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</si>
  <si>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</si>
  <si>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</si>
  <si>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</si>
  <si>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</si>
  <si>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</si>
  <si>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</si>
  <si>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</si>
  <si>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</si>
  <si>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</si>
  <si>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</si>
  <si>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</si>
  <si>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</si>
  <si>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</si>
  <si>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</si>
  <si>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</si>
  <si>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</si>
  <si>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</si>
  <si>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</si>
  <si>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</si>
  <si>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</si>
  <si>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</si>
  <si>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</si>
  <si>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</si>
  <si>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</si>
  <si>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</si>
  <si>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</si>
  <si>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</si>
  <si>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</si>
  <si>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</si>
  <si>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</si>
  <si>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</si>
  <si>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</si>
  <si>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</si>
  <si>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</si>
  <si>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</si>
  <si>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</si>
  <si>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</si>
  <si>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</si>
  <si>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</si>
  <si>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</si>
  <si>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</si>
  <si>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</si>
  <si>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</si>
  <si>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</si>
  <si>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</si>
  <si>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</si>
  <si>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</si>
  <si>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</si>
  <si>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</si>
  <si>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</si>
  <si>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</si>
  <si>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</si>
  <si>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</si>
  <si>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</si>
  <si>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</si>
  <si>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</si>
  <si>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</si>
  <si>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</si>
  <si>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</si>
  <si>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</si>
  <si>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</si>
  <si>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</si>
  <si>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</si>
  <si>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</si>
  <si>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</si>
  <si>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</si>
  <si>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</si>
  <si>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</si>
  <si>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</si>
  <si>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</si>
  <si>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</si>
  <si>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</si>
  <si>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</si>
  <si>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</si>
  <si>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</si>
  <si>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</si>
  <si>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</si>
  <si>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</si>
  <si>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</si>
  <si>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</si>
  <si>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</si>
  <si>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</si>
  <si>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</si>
  <si>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</si>
  <si>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</si>
  <si>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</si>
  <si>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</si>
  <si>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</si>
  <si>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</si>
  <si>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</si>
  <si>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</si>
  <si>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</si>
  <si>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</si>
  <si>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</si>
  <si>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</si>
  <si>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</si>
  <si>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</si>
  <si>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</si>
  <si>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</si>
  <si>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</si>
  <si>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</si>
  <si>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</si>
  <si>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</si>
  <si>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</si>
  <si>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</si>
  <si>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</si>
  <si>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</si>
  <si>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</si>
  <si>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</si>
  <si>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</si>
  <si>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</si>
  <si>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</si>
  <si>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</si>
  <si>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</si>
  <si>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</si>
  <si>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</si>
  <si>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</si>
  <si>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</si>
  <si>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</si>
  <si>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</si>
  <si>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</si>
  <si>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</si>
  <si>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</si>
  <si>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</si>
  <si>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</si>
  <si>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</si>
  <si>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</si>
  <si>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</si>
  <si>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</si>
  <si>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</si>
  <si>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</si>
  <si>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</si>
  <si>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</si>
  <si>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</si>
  <si>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</si>
  <si>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</si>
  <si>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</si>
  <si>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</si>
  <si>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</si>
  <si>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</si>
  <si>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</si>
  <si>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</si>
  <si>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</si>
  <si>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</si>
  <si>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</si>
  <si>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</si>
  <si>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</si>
  <si>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</si>
  <si>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</si>
  <si>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</si>
  <si>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</si>
  <si>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</si>
  <si>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</si>
  <si>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</si>
  <si>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</si>
  <si>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</si>
  <si>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</si>
  <si>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</si>
  <si>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</si>
  <si>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</si>
  <si>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</si>
  <si>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</si>
  <si>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</si>
  <si>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</si>
  <si>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</si>
  <si>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</si>
  <si>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</si>
  <si>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</si>
  <si>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</si>
  <si>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</si>
  <si>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</si>
  <si>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</si>
  <si>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</si>
  <si>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</si>
  <si>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</si>
  <si>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</si>
  <si>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</si>
  <si>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</si>
  <si>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</si>
  <si>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</si>
  <si>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</si>
  <si>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</si>
  <si>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</si>
  <si>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</si>
  <si>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</si>
  <si>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</si>
  <si>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</si>
  <si>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</si>
  <si>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</si>
  <si>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</si>
  <si>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</si>
  <si>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</si>
  <si>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</si>
  <si>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</si>
  <si>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</si>
  <si>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</si>
  <si>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</si>
  <si>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</si>
  <si>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</si>
  <si>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</si>
  <si>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</si>
  <si>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</si>
  <si>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</si>
  <si>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</si>
  <si>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</si>
  <si>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</si>
  <si>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</si>
  <si>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</si>
  <si>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</si>
  <si>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</si>
  <si>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</si>
  <si>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</si>
  <si>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</si>
  <si>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</si>
  <si>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</si>
  <si>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</si>
  <si>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</si>
  <si>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</si>
  <si>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</si>
  <si>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</si>
  <si>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</si>
  <si>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</si>
  <si>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</si>
  <si>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</si>
  <si>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</si>
  <si>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</si>
  <si>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</si>
  <si>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</si>
  <si>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</si>
  <si>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</si>
  <si>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</si>
  <si>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</si>
  <si>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</si>
  <si>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</si>
  <si>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</si>
  <si>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</si>
  <si>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</si>
  <si>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</si>
  <si>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</si>
  <si>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</si>
  <si>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</si>
  <si>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</si>
  <si>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</si>
  <si>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</si>
  <si>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</si>
  <si>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</si>
  <si>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</si>
  <si>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</si>
  <si>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</si>
  <si>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</si>
  <si>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</si>
  <si>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</si>
  <si>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</si>
  <si>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</si>
  <si>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</si>
  <si>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</si>
  <si>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</si>
  <si>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</si>
  <si>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</si>
  <si>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</si>
  <si>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</si>
  <si>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</si>
  <si>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</si>
  <si>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</si>
  <si>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</si>
  <si>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</si>
  <si>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</si>
  <si>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</si>
  <si>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</si>
  <si>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</si>
  <si>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</si>
  <si>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</si>
  <si>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</si>
  <si>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</si>
  <si>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</si>
  <si>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</si>
  <si>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</si>
  <si>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</si>
  <si>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</si>
  <si>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</si>
  <si>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</si>
  <si>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</si>
  <si>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</si>
  <si>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</si>
  <si>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</si>
  <si>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</si>
  <si>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</si>
  <si>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</si>
  <si>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</si>
  <si>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</si>
  <si>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</si>
  <si>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</si>
  <si>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</si>
  <si>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</si>
  <si>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</si>
  <si>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</si>
  <si>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</si>
  <si>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</si>
  <si>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</si>
  <si>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</si>
  <si>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</si>
  <si>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</si>
  <si>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</si>
  <si>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</si>
  <si>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</si>
  <si>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</si>
  <si>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</si>
  <si>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</si>
  <si>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</si>
  <si>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</si>
  <si>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</si>
  <si>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</si>
  <si>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</si>
  <si>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</si>
  <si>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</si>
  <si>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</si>
  <si>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</si>
  <si>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</si>
  <si>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</si>
  <si>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</si>
  <si>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</si>
  <si>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</si>
  <si>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</si>
  <si>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</si>
  <si>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</si>
  <si>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</si>
  <si>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</si>
  <si>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</si>
  <si>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</si>
  <si>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</si>
  <si>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</si>
  <si>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</si>
  <si>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</si>
  <si>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</si>
  <si>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</si>
  <si>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</si>
  <si>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</si>
  <si>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</si>
  <si>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</si>
  <si>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</si>
  <si>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</si>
  <si>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</si>
  <si>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</si>
  <si>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</si>
  <si>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</si>
  <si>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</si>
  <si>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</si>
  <si>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</si>
  <si>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</si>
  <si>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</si>
  <si>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</si>
  <si>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</si>
  <si>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</si>
  <si>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</si>
  <si>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</si>
  <si>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</si>
  <si>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</si>
  <si>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</si>
  <si>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</si>
  <si>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</si>
  <si>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</si>
  <si>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</si>
  <si>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</si>
  <si>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</si>
  <si>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</si>
  <si>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</si>
  <si>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</si>
  <si>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</si>
  <si>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</si>
  <si>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</si>
  <si>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</si>
  <si>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</si>
  <si>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</si>
  <si>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</si>
  <si>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</si>
  <si>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</si>
  <si>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</si>
  <si>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</si>
  <si>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</si>
  <si>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</si>
  <si>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</si>
  <si>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</si>
  <si>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</si>
  <si>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</si>
  <si>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</si>
  <si>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</si>
  <si>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</si>
  <si>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</si>
  <si>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</si>
  <si>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</si>
  <si>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</si>
  <si>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</si>
  <si>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</si>
  <si>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</si>
  <si>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</si>
  <si>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</si>
  <si>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</si>
  <si>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</si>
  <si>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</si>
  <si>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</si>
  <si>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</si>
  <si>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</si>
  <si>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</si>
  <si>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</si>
  <si>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</si>
  <si>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</si>
  <si>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</si>
  <si>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</si>
  <si>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</si>
  <si>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</si>
  <si>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</si>
  <si>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</si>
  <si>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</si>
  <si>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</si>
  <si>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</si>
  <si>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</si>
  <si>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</si>
  <si>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</si>
  <si>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</si>
  <si>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</si>
  <si>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</si>
  <si>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</si>
  <si>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</si>
  <si>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</si>
  <si>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</si>
  <si>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</si>
  <si>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</si>
  <si>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</si>
  <si>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</si>
  <si>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</si>
  <si>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</si>
  <si>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</si>
  <si>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</si>
  <si>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</si>
  <si>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</si>
  <si>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</si>
  <si>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</si>
  <si>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</si>
  <si>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</si>
  <si>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</si>
  <si>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</si>
  <si>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</si>
  <si>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</si>
  <si>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</si>
  <si>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</si>
  <si>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</si>
  <si>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</si>
  <si>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</si>
  <si>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</si>
  <si>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</si>
  <si>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</si>
  <si>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</si>
  <si>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</si>
  <si>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</si>
  <si>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</si>
  <si>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</si>
  <si>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</si>
  <si>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</si>
  <si>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</si>
  <si>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</si>
  <si>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</si>
  <si>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</si>
  <si>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</si>
  <si>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</si>
  <si>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</si>
  <si>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</si>
  <si>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</si>
  <si>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</si>
  <si>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</si>
  <si>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</si>
  <si>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</si>
  <si>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</si>
  <si>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</si>
  <si>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</si>
  <si>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</si>
  <si>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</si>
  <si>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</si>
  <si>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</si>
  <si>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</si>
  <si>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</si>
  <si>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</si>
  <si>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</si>
  <si>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</si>
  <si>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</si>
  <si>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</si>
  <si>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</si>
  <si>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</si>
  <si>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</si>
  <si>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</si>
  <si>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</si>
  <si>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</si>
  <si>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</si>
  <si>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</si>
  <si>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</si>
  <si>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</si>
  <si>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</si>
  <si>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</si>
  <si>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</si>
  <si>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</si>
  <si>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</si>
  <si>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</si>
  <si>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</si>
  <si>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</si>
  <si>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</si>
  <si>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</si>
  <si>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</si>
  <si>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</si>
  <si>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</si>
  <si>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</si>
  <si>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</si>
  <si>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</si>
  <si>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</si>
  <si>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</si>
  <si>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</si>
  <si>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</si>
  <si>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</si>
  <si>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</si>
  <si>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</si>
  <si>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</si>
  <si>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</si>
  <si>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</si>
  <si>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</si>
  <si>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</si>
  <si>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</si>
  <si>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</si>
  <si>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</si>
  <si>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</si>
  <si>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</si>
  <si>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</si>
  <si>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</si>
  <si>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</si>
  <si>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</si>
  <si>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</si>
  <si>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</si>
  <si>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</si>
  <si>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</si>
  <si>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</si>
  <si>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</si>
  <si>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</si>
  <si>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</si>
  <si>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</si>
  <si>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</si>
  <si>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</si>
  <si>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</si>
  <si>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</si>
  <si>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</si>
  <si>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</si>
  <si>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</si>
  <si>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</si>
  <si>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</si>
  <si>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</si>
  <si>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</si>
  <si>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</si>
  <si>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</si>
  <si>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</si>
  <si>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</si>
  <si>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</si>
  <si>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</si>
  <si>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</si>
  <si>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</si>
  <si>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</si>
  <si>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</si>
  <si>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</si>
  <si>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</si>
  <si>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</si>
  <si>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</si>
  <si>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</si>
  <si>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</si>
  <si>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</si>
  <si>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</si>
  <si>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</si>
  <si>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</si>
  <si>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</si>
  <si>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</si>
  <si>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</si>
  <si>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</si>
  <si>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</si>
  <si>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</si>
  <si>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</si>
  <si>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</si>
  <si>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</si>
  <si>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</si>
  <si>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</si>
  <si>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</si>
  <si>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</si>
  <si>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</si>
  <si>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</si>
  <si>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</si>
  <si>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</si>
  <si>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</si>
  <si>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</si>
  <si>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</si>
  <si>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</si>
  <si>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</si>
  <si>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</si>
  <si>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</si>
  <si>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</si>
  <si>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</si>
  <si>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</si>
  <si>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</si>
  <si>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</si>
  <si>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</si>
  <si>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</si>
  <si>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</si>
  <si>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</si>
  <si>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</si>
  <si>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</si>
  <si>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</si>
  <si>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</si>
  <si>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</si>
  <si>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</si>
  <si>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</si>
  <si>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</si>
  <si>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</si>
  <si>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</si>
  <si>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</si>
  <si>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</si>
  <si>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</si>
  <si>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</si>
  <si>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</si>
  <si>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</si>
  <si>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</si>
  <si>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</si>
  <si>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</si>
  <si>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</si>
  <si>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</si>
  <si>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</si>
  <si>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</si>
  <si>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</si>
  <si>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</si>
  <si>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</si>
  <si>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</si>
  <si>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</si>
  <si>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</si>
  <si>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</si>
  <si>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</si>
  <si>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</si>
  <si>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</si>
  <si>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</si>
  <si>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</si>
  <si>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</si>
  <si>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</si>
  <si>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</si>
  <si>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</si>
  <si>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</si>
  <si>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</si>
  <si>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</si>
  <si>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</si>
  <si>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</si>
  <si>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</si>
  <si>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</si>
  <si>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</si>
  <si>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</si>
  <si>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</si>
  <si>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</si>
  <si>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</si>
  <si>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</si>
  <si>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</si>
  <si>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</si>
  <si>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</si>
  <si>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</si>
  <si>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</si>
  <si>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</si>
  <si>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</si>
  <si>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</si>
  <si>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</si>
  <si>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</si>
  <si>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</si>
  <si>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</si>
  <si>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</si>
  <si>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</si>
  <si>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</si>
  <si>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</si>
  <si>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</si>
  <si>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</si>
  <si>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</si>
  <si>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</si>
  <si>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</si>
  <si>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</si>
  <si>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</si>
  <si>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</si>
  <si>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</si>
  <si>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</si>
  <si>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</si>
  <si>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</si>
  <si>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</si>
  <si>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</si>
  <si>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</si>
  <si>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</si>
  <si>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</si>
  <si>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</si>
  <si>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</si>
  <si>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</si>
  <si>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</si>
  <si>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</si>
  <si>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</si>
  <si>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</si>
  <si>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</si>
  <si>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</si>
  <si>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</si>
  <si>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</si>
  <si>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</si>
  <si>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</si>
  <si>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</si>
  <si>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</si>
  <si>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</si>
  <si>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</si>
  <si>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</si>
  <si>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</si>
  <si>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</si>
  <si>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</si>
  <si>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</si>
  <si>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</si>
  <si>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</si>
  <si>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</si>
  <si>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</si>
  <si>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</si>
  <si>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</si>
  <si>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</si>
  <si>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</si>
  <si>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</si>
  <si>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</si>
  <si>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</si>
  <si>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</si>
  <si>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</si>
  <si>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</si>
  <si>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</si>
  <si>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</si>
  <si>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</si>
  <si>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</si>
  <si>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</si>
  <si>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</si>
  <si>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</si>
  <si>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</si>
  <si>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</si>
  <si>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</si>
  <si>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</si>
  <si>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</si>
  <si>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</si>
  <si>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</si>
  <si>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</si>
  <si>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</si>
  <si>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</si>
  <si>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</si>
  <si>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</si>
  <si>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</si>
  <si>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</si>
  <si>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</si>
  <si>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</si>
  <si>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</si>
  <si>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</si>
  <si>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</si>
  <si>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</si>
  <si>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</si>
  <si>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</si>
  <si>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</si>
  <si>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</si>
  <si>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</si>
  <si>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</si>
  <si>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</si>
  <si>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</si>
  <si>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</si>
  <si>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</si>
  <si>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</si>
  <si>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</si>
  <si>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</si>
  <si>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</si>
  <si>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</si>
  <si>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</si>
  <si>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</si>
  <si>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</si>
  <si>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</si>
  <si>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</si>
  <si>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</si>
  <si>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</si>
  <si>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</si>
  <si>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</si>
  <si>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</si>
  <si>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</si>
  <si>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</si>
  <si>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</si>
  <si>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</si>
  <si>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</si>
  <si>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</si>
  <si>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</si>
  <si>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</si>
  <si>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</si>
  <si>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</si>
  <si>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</si>
  <si>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</si>
  <si>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</si>
  <si>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</si>
  <si>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</si>
  <si>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</si>
  <si>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</si>
  <si>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</si>
  <si>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</si>
  <si>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</si>
  <si>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</si>
  <si>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</si>
  <si>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</si>
  <si>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</si>
  <si>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</si>
  <si>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</si>
  <si>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</si>
  <si>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</si>
  <si>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</si>
  <si>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</si>
  <si>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</si>
  <si>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</si>
  <si>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</si>
  <si>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</si>
  <si>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</si>
  <si>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</si>
  <si>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</si>
  <si>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</si>
  <si>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</si>
  <si>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</si>
  <si>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</si>
  <si>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</si>
  <si>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</si>
  <si>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</si>
  <si>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</si>
  <si>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</si>
  <si>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</si>
  <si>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</si>
  <si>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</si>
  <si>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</si>
  <si>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</si>
  <si>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</si>
  <si>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</si>
  <si>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</si>
  <si>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</si>
  <si>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</si>
  <si>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</si>
  <si>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</si>
  <si>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</si>
  <si>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</si>
  <si>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</si>
  <si>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</si>
  <si>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</si>
  <si>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</si>
  <si>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</si>
  <si>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</si>
  <si>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</si>
  <si>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</si>
  <si>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</si>
  <si>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</si>
  <si>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</si>
  <si>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</si>
  <si>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</si>
  <si>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</si>
  <si>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</si>
  <si>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</si>
  <si>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</si>
  <si>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</si>
  <si>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</si>
  <si>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</si>
  <si>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</si>
  <si>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</si>
  <si>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</si>
  <si>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</si>
  <si>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</si>
  <si>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</si>
  <si>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</si>
  <si>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</si>
  <si>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</si>
  <si>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</si>
  <si>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</si>
  <si>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</si>
  <si>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</si>
  <si>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</si>
  <si>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</si>
  <si>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</si>
  <si>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</si>
  <si>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</si>
  <si>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</si>
  <si>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</si>
  <si>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</si>
  <si>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</si>
  <si>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</si>
  <si>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</si>
  <si>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</si>
  <si>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</si>
  <si>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</si>
  <si>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</si>
  <si>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</si>
  <si>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</si>
  <si>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</si>
  <si>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</si>
  <si>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</si>
  <si>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</si>
  <si>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</si>
  <si>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</si>
  <si>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</si>
  <si>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</si>
  <si>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</si>
  <si>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</si>
  <si>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</si>
  <si>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</si>
  <si>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</si>
  <si>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</si>
  <si>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</si>
  <si>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</si>
  <si>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</si>
  <si>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</si>
  <si>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</si>
  <si>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</si>
  <si>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</si>
  <si>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</si>
  <si>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</si>
  <si>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</si>
  <si>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</si>
  <si>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</si>
  <si>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</si>
  <si>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</si>
  <si>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</si>
  <si>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</si>
  <si>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</si>
  <si>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</si>
  <si>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</si>
  <si>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</si>
  <si>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</si>
  <si>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</si>
  <si>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</si>
  <si>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</si>
  <si>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</si>
  <si>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</si>
  <si>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</si>
  <si>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</si>
  <si>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</si>
  <si>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</si>
  <si>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</si>
  <si>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</si>
  <si>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</si>
  <si>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</si>
  <si>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</si>
  <si>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</si>
  <si>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</si>
  <si>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</si>
  <si>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</si>
  <si>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</si>
  <si>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</si>
  <si>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</si>
  <si>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</si>
  <si>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</si>
  <si>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</si>
  <si>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</si>
  <si>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</si>
  <si>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</si>
  <si>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</si>
  <si>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</si>
  <si>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</si>
  <si>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</si>
  <si>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</si>
  <si>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</si>
  <si>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</si>
  <si>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</si>
  <si>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</si>
  <si>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</si>
  <si>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</si>
  <si>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</si>
  <si>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</si>
  <si>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</si>
  <si>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</si>
  <si>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</si>
  <si>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</si>
  <si>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</si>
  <si>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</si>
  <si>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</si>
  <si>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</si>
  <si>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</si>
  <si>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</si>
  <si>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</si>
  <si>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</si>
  <si>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</si>
  <si>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</si>
  <si>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</si>
  <si>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</si>
  <si>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</si>
  <si>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</si>
  <si>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</si>
  <si>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</si>
  <si>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</si>
  <si>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</si>
  <si>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</si>
  <si>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</si>
  <si>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</si>
  <si>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</si>
  <si>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</si>
  <si>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</si>
  <si>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</si>
  <si>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</si>
  <si>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</si>
  <si>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</si>
  <si>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</si>
  <si>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</si>
  <si>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</si>
  <si>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</si>
  <si>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</si>
  <si>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</si>
  <si>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</si>
  <si>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</si>
  <si>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</si>
  <si>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</si>
  <si>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</si>
  <si>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</si>
  <si>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</si>
  <si>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</si>
  <si>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</si>
  <si>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</si>
  <si>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</si>
  <si>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</si>
  <si>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</si>
  <si>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</si>
  <si>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</si>
  <si>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</si>
  <si>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</si>
  <si>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</si>
  <si>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</si>
  <si>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</si>
  <si>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</si>
  <si>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</si>
  <si>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</si>
  <si>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</si>
  <si>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</si>
  <si>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</si>
  <si>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</si>
  <si>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</si>
  <si>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</si>
  <si>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</si>
  <si>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</si>
  <si>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</si>
  <si>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</si>
  <si>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</si>
  <si>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</si>
  <si>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</si>
  <si>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</si>
  <si>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</si>
  <si>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</si>
  <si>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</si>
  <si>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</si>
  <si>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</si>
  <si>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</si>
  <si>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</si>
  <si>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</si>
  <si>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</si>
  <si>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</si>
  <si>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</si>
  <si>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</si>
  <si>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</si>
  <si>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</si>
  <si>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</si>
  <si>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</si>
  <si>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</si>
  <si>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</si>
  <si>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</si>
  <si>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</si>
  <si>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</si>
  <si>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</si>
  <si>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</si>
  <si>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</si>
  <si>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</si>
  <si>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</si>
  <si>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</si>
  <si>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</si>
  <si>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</si>
  <si>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</si>
  <si>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</si>
  <si>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</si>
  <si>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</si>
  <si>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</si>
  <si>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</si>
  <si>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</si>
  <si>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</si>
  <si>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</si>
  <si>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</si>
  <si>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</si>
  <si>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</si>
  <si>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</si>
  <si>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</si>
  <si>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</si>
  <si>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</si>
  <si>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</si>
  <si>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</si>
  <si>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</si>
  <si>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</si>
  <si>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</si>
  <si>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</si>
  <si>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</si>
  <si>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</si>
  <si>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</si>
  <si>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</si>
  <si>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</si>
  <si>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</si>
  <si>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</si>
  <si>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</si>
  <si>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</si>
  <si>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</si>
  <si>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</si>
  <si>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</si>
  <si>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</si>
  <si>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</si>
  <si>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</si>
  <si>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</si>
  <si>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</si>
  <si>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</si>
  <si>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</si>
  <si>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</si>
  <si>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</si>
  <si>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</si>
  <si>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</si>
  <si>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</si>
  <si>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</si>
  <si>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</si>
  <si>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</si>
  <si>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</si>
  <si>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</si>
  <si>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</si>
  <si>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</si>
  <si>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</si>
  <si>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</si>
  <si>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</si>
  <si>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</si>
  <si>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</si>
  <si>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</si>
  <si>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</si>
  <si>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</si>
  <si>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</si>
  <si>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</si>
  <si>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</si>
  <si>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</si>
  <si>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</si>
  <si>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</si>
  <si>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</si>
  <si>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</si>
  <si>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</si>
  <si>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</si>
  <si>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</si>
  <si>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</si>
  <si>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</si>
  <si>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</si>
  <si>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</si>
  <si>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</si>
  <si>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</si>
  <si>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</si>
  <si>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</si>
  <si>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</si>
  <si>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</si>
  <si>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</si>
  <si>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</si>
  <si>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</si>
  <si>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</si>
  <si>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</si>
  <si>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</si>
  <si>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</si>
  <si>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</si>
  <si>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</si>
  <si>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</si>
  <si>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</si>
  <si>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</si>
  <si>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</si>
  <si>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</si>
  <si>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</si>
  <si>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</si>
  <si>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</si>
  <si>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</si>
  <si>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</si>
  <si>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</si>
  <si>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</si>
  <si>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</si>
  <si>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</si>
  <si>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</si>
  <si>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</si>
  <si>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</si>
  <si>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</si>
  <si>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</si>
  <si>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</si>
  <si>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</si>
  <si>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</si>
  <si>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</si>
  <si>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</si>
  <si>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</si>
  <si>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</si>
  <si>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</si>
  <si>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</si>
  <si>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</si>
  <si>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</si>
  <si>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</si>
  <si>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</si>
  <si>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</si>
  <si>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</si>
  <si>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</si>
  <si>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</si>
  <si>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</si>
  <si>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</si>
  <si>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</si>
  <si>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</si>
  <si>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</si>
  <si>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</si>
  <si>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</si>
  <si>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</si>
  <si>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</si>
  <si>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</si>
  <si>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</si>
  <si>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</si>
  <si>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</si>
  <si>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</si>
  <si>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</si>
  <si>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</si>
  <si>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</si>
  <si>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</si>
  <si>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</si>
  <si>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</si>
  <si>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</si>
  <si>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</si>
  <si>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</si>
  <si>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</si>
  <si>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</si>
  <si>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</si>
  <si>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</si>
  <si>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</si>
  <si>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</si>
  <si>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</si>
  <si>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</si>
  <si>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</si>
  <si>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</si>
  <si>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</si>
  <si>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</si>
  <si>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</si>
  <si>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</si>
  <si>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</si>
  <si>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</si>
  <si>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</si>
  <si>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</si>
  <si>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</si>
  <si>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</si>
  <si>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</si>
  <si>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</si>
  <si>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</si>
  <si>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</si>
  <si>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</si>
  <si>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</si>
  <si>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</si>
  <si>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</si>
  <si>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</si>
  <si>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</si>
  <si>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</si>
  <si>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</si>
  <si>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</si>
  <si>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</si>
  <si>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</si>
  <si>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</si>
  <si>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</si>
  <si>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</si>
  <si>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</si>
  <si>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</si>
  <si>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</si>
  <si>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</si>
  <si>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</si>
  <si>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</si>
  <si>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</si>
  <si>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</si>
  <si>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</si>
  <si>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</si>
  <si>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</si>
  <si>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</si>
  <si>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</si>
  <si>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</si>
  <si>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</si>
  <si>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</si>
  <si>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</si>
  <si>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</si>
  <si>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</si>
  <si>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</si>
  <si>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</si>
  <si>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</si>
  <si>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</si>
  <si>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</si>
  <si>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</si>
  <si>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</si>
  <si>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</si>
  <si>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</si>
  <si>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</si>
  <si>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</si>
  <si>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</si>
  <si>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</si>
  <si>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</si>
  <si>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</si>
  <si>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</si>
  <si>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</si>
  <si>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</si>
  <si>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</si>
  <si>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</si>
  <si>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</si>
  <si>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</si>
  <si>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</si>
  <si>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</si>
  <si>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</si>
  <si>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</si>
  <si>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</si>
  <si>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</si>
  <si>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</si>
  <si>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</si>
  <si>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</si>
  <si>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</si>
  <si>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</si>
  <si>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</si>
  <si>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</si>
  <si>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</si>
  <si>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</si>
  <si>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</si>
  <si>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</si>
  <si>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</si>
  <si>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</si>
  <si>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</si>
  <si>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</si>
  <si>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</si>
  <si>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</si>
  <si>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</si>
  <si>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</si>
  <si>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</si>
  <si>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</si>
  <si>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</si>
  <si>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</si>
  <si>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</si>
  <si>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</si>
  <si>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</si>
  <si>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</si>
  <si>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</si>
  <si>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</si>
  <si>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</si>
  <si>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</si>
  <si>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</si>
  <si>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</si>
  <si>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</si>
  <si>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</si>
  <si>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</si>
  <si>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</si>
  <si>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</si>
  <si>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</si>
  <si>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</si>
  <si>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</si>
  <si>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</si>
  <si>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</si>
  <si>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</si>
  <si>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</si>
  <si>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</si>
  <si>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</si>
  <si>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</si>
  <si>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</si>
  <si>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</si>
  <si>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</si>
  <si>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</si>
  <si>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</si>
  <si>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</si>
  <si>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</si>
  <si>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</si>
  <si>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</si>
  <si>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</si>
  <si>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</si>
  <si>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</si>
  <si>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</si>
  <si>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</si>
  <si>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</si>
  <si>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</si>
  <si>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</si>
  <si>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</si>
  <si>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</si>
  <si>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</si>
  <si>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</si>
  <si>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</si>
  <si>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</si>
  <si>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</si>
  <si>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</si>
  <si>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</si>
  <si>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</si>
  <si>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</si>
  <si>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</si>
  <si>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</si>
  <si>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</si>
  <si>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</si>
  <si>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</si>
  <si>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</si>
  <si>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</si>
  <si>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</si>
  <si>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</si>
  <si>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</si>
  <si>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</si>
  <si>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</si>
  <si>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</si>
  <si>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</si>
  <si>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</si>
  <si>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</si>
  <si>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</si>
  <si>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</si>
  <si>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</si>
  <si>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</si>
  <si>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</si>
  <si>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</si>
  <si>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</si>
  <si>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</si>
  <si>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</si>
  <si>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</si>
  <si>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</si>
  <si>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</si>
  <si>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</si>
  <si>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</si>
  <si>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</si>
  <si>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</si>
  <si>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</si>
  <si>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</si>
  <si>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</si>
  <si>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</si>
  <si>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</si>
  <si>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</si>
  <si>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</si>
  <si>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</si>
  <si>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</si>
  <si>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</si>
  <si>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</si>
  <si>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</si>
  <si>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</si>
  <si>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</si>
  <si>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</si>
  <si>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</si>
  <si>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</si>
  <si>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</si>
  <si>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</si>
  <si>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</si>
  <si>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</si>
  <si>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</si>
  <si>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</si>
  <si>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</si>
  <si>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</si>
  <si>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</si>
  <si>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</si>
  <si>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</si>
  <si>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</si>
  <si>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</si>
  <si>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</si>
  <si>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</si>
  <si>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</si>
  <si>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</si>
  <si>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</si>
  <si>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</si>
  <si>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</si>
  <si>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</si>
  <si>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</si>
  <si>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</si>
  <si>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</si>
  <si>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</si>
  <si>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</si>
  <si>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</si>
  <si>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</si>
  <si>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</si>
  <si>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</si>
  <si>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</si>
  <si>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</si>
  <si>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</si>
  <si>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</si>
  <si>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</si>
  <si>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</si>
  <si>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</si>
  <si>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</si>
  <si>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</si>
  <si>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</si>
  <si>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</si>
  <si>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</si>
  <si>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</si>
  <si>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</si>
  <si>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</si>
  <si>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</si>
  <si>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</si>
  <si>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</si>
  <si>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</si>
  <si>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</si>
  <si>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</si>
  <si>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</si>
  <si>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</si>
  <si>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</si>
  <si>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</si>
  <si>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</si>
  <si>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</si>
  <si>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</si>
  <si>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</si>
  <si>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</si>
  <si>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</si>
  <si>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</si>
  <si>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</si>
  <si>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</si>
  <si>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</si>
  <si>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</si>
  <si>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</si>
  <si>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</si>
  <si>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</si>
  <si>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</si>
  <si>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</si>
  <si>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</si>
  <si>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</si>
  <si>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</si>
  <si>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</si>
  <si>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</si>
  <si>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</si>
  <si>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</si>
  <si>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</si>
  <si>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</si>
  <si>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</si>
  <si>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</si>
  <si>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</si>
  <si>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</si>
  <si>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</si>
  <si>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</si>
  <si>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</si>
  <si>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</si>
  <si>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</si>
  <si>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</si>
  <si>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</si>
  <si>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</si>
  <si>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</si>
  <si>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</si>
  <si>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</si>
  <si>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</si>
  <si>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</si>
  <si>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</si>
  <si>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</si>
  <si>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</si>
  <si>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</si>
  <si>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</si>
  <si>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</si>
  <si>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</si>
  <si>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</si>
  <si>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</si>
  <si>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</si>
  <si>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</si>
  <si>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</si>
  <si>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</si>
  <si>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</si>
  <si>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</si>
  <si>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</si>
  <si>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</si>
  <si>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</si>
  <si>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</si>
  <si>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</si>
  <si>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</si>
  <si>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</si>
  <si>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</si>
  <si>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</si>
  <si>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</si>
  <si>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</si>
  <si>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</si>
  <si>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</si>
  <si>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</si>
  <si>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</si>
  <si>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</si>
  <si>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</si>
  <si>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</si>
  <si>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</si>
  <si>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</si>
  <si>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</si>
  <si>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</si>
  <si>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</si>
  <si>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</si>
  <si>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</si>
  <si>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</si>
  <si>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</si>
  <si>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</si>
  <si>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</si>
  <si>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</si>
  <si>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</si>
  <si>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</si>
  <si>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</si>
  <si>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</si>
  <si>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</si>
  <si>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</si>
  <si>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</si>
  <si>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</si>
  <si>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</si>
  <si>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</si>
  <si>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</si>
  <si>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</si>
  <si>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</si>
  <si>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</si>
  <si>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</si>
  <si>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</si>
  <si>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</si>
  <si>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</si>
  <si>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</si>
  <si>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</si>
  <si>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</si>
  <si>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</si>
  <si>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</si>
  <si>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</si>
  <si>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</si>
  <si>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</si>
  <si>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</si>
  <si>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</si>
  <si>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</si>
  <si>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</si>
  <si>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</si>
  <si>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</si>
  <si>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</si>
  <si>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</si>
  <si>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</si>
  <si>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</si>
  <si>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</si>
  <si>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</si>
  <si>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</si>
  <si>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</si>
  <si>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</si>
  <si>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</si>
  <si>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</si>
  <si>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</si>
  <si>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</si>
  <si>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</si>
  <si>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</si>
  <si>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</si>
  <si>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</si>
  <si>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</si>
  <si>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</si>
  <si>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</si>
  <si>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</si>
  <si>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</si>
  <si>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</si>
  <si>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</si>
  <si>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</si>
  <si>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</si>
  <si>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</si>
  <si>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</si>
  <si>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</si>
  <si>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</si>
  <si>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</si>
  <si>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</si>
  <si>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</si>
  <si>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</si>
  <si>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</si>
  <si>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</si>
  <si>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</si>
  <si>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</si>
  <si>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</si>
  <si>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</si>
  <si>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</si>
  <si>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</si>
  <si>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</si>
  <si>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</si>
  <si>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</si>
  <si>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</si>
  <si>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</si>
  <si>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</si>
  <si>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</si>
  <si>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</si>
  <si>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</si>
  <si>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</si>
  <si>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</si>
  <si>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</si>
  <si>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</si>
  <si>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</si>
  <si>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</si>
  <si>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</si>
  <si>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</si>
  <si>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</si>
  <si>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</si>
  <si>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</si>
  <si>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</si>
  <si>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</si>
  <si>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</si>
  <si>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</si>
  <si>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</si>
  <si>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</si>
  <si>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</si>
  <si>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</si>
  <si>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</si>
  <si>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</si>
  <si>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</si>
  <si>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</si>
  <si>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</si>
  <si>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</si>
  <si>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</si>
  <si>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</si>
  <si>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</si>
  <si>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</si>
  <si>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</si>
  <si>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</si>
  <si>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</si>
  <si>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</si>
  <si>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</si>
  <si>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</si>
  <si>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</si>
  <si>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</si>
  <si>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</si>
  <si>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</si>
  <si>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</si>
  <si>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</si>
  <si>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</si>
  <si>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</si>
  <si>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</si>
  <si>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</si>
  <si>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</si>
  <si>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</si>
  <si>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</si>
  <si>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</si>
  <si>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</si>
  <si>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</si>
  <si>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</si>
  <si>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</si>
  <si>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</si>
  <si>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</si>
  <si>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</si>
  <si>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</si>
  <si>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</si>
  <si>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</si>
  <si>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</si>
  <si>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</si>
  <si>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</si>
  <si>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</si>
  <si>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</si>
  <si>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</si>
  <si>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</si>
  <si>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</si>
  <si>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</si>
  <si>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</si>
  <si>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</si>
  <si>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</si>
  <si>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</si>
  <si>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</si>
  <si>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</si>
  <si>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</si>
  <si>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</si>
  <si>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</si>
  <si>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</si>
  <si>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</si>
  <si>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</si>
  <si>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</si>
  <si>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</si>
  <si>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</si>
  <si>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</si>
  <si>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</si>
  <si>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</si>
  <si>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</si>
  <si>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</si>
  <si>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</si>
  <si>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</si>
  <si>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</si>
  <si>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</si>
  <si>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</si>
  <si>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</si>
  <si>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</si>
  <si>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</si>
  <si>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</si>
  <si>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</si>
  <si>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</si>
  <si>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</si>
  <si>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</si>
  <si>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</si>
  <si>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</si>
  <si>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</si>
  <si>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</si>
  <si>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</si>
  <si>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</si>
  <si>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</si>
  <si>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</si>
  <si>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</si>
  <si>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</si>
  <si>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</si>
  <si>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</si>
  <si>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</si>
  <si>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</si>
  <si>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</si>
  <si>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</si>
  <si>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</si>
  <si>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</si>
  <si>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</si>
  <si>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</si>
  <si>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</si>
  <si>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</si>
  <si>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</si>
  <si>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</si>
  <si>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</si>
  <si>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</si>
  <si>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</si>
  <si>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</si>
  <si>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</si>
  <si>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</si>
  <si>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</si>
  <si>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</si>
  <si>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</si>
  <si>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</si>
  <si>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</si>
  <si>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</si>
  <si>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</si>
  <si>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</si>
  <si>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</si>
  <si>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</si>
  <si>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</si>
  <si>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</si>
  <si>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</si>
  <si>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</si>
  <si>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</si>
  <si>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</si>
  <si>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</si>
  <si>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</si>
  <si>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</si>
  <si>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</si>
  <si>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</si>
  <si>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</si>
  <si>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</si>
  <si>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</si>
  <si>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</si>
  <si>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</si>
  <si>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</si>
  <si>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</si>
  <si>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</si>
  <si>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</si>
  <si>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</si>
  <si>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</si>
  <si>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</si>
  <si>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</si>
  <si>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</si>
  <si>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</si>
  <si>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</si>
  <si>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</si>
  <si>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</si>
  <si>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</si>
  <si>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</si>
  <si>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</si>
  <si>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</si>
  <si>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</si>
  <si>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</si>
  <si>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</si>
  <si>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</si>
  <si>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</si>
  <si>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</si>
  <si>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</si>
  <si>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</si>
  <si>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</si>
  <si>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</si>
  <si>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</si>
  <si>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</si>
  <si>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</si>
  <si>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</si>
  <si>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</si>
  <si>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</si>
  <si>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</si>
  <si>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</si>
  <si>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</si>
  <si>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</si>
  <si>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</si>
  <si>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</si>
  <si>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</si>
  <si>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</si>
  <si>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</si>
  <si>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</si>
  <si>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</si>
  <si>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</si>
  <si>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</si>
  <si>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</si>
  <si>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</si>
  <si>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</si>
  <si>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</si>
  <si>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</si>
  <si>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</si>
  <si>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</si>
  <si>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</si>
  <si>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</si>
  <si>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</si>
  <si>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</si>
  <si>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</si>
  <si>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</si>
  <si>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</si>
  <si>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</si>
  <si>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</si>
  <si>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</si>
  <si>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</si>
  <si>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</si>
  <si>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</si>
  <si>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</si>
  <si>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</si>
  <si>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</si>
  <si>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</si>
  <si>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</si>
  <si>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</si>
  <si>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</si>
  <si>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</si>
  <si>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</si>
  <si>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</si>
  <si>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</si>
  <si>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</si>
  <si>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</si>
  <si>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</si>
  <si>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</si>
  <si>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</si>
  <si>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</si>
  <si>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</si>
  <si>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</si>
  <si>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</si>
  <si>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</si>
  <si>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</si>
  <si>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</si>
  <si>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</si>
  <si>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</si>
  <si>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</si>
  <si>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</si>
  <si>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</si>
  <si>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</si>
  <si>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</si>
  <si>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</si>
  <si>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</si>
  <si>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</si>
  <si>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</si>
  <si>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</si>
  <si>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</si>
  <si>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</si>
  <si>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</si>
  <si>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</si>
  <si>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</si>
  <si>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</si>
  <si>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</si>
  <si>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</si>
  <si>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</si>
  <si>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</si>
  <si>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</si>
  <si>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</si>
  <si>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</si>
  <si>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</si>
  <si>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</si>
  <si>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</si>
  <si>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</si>
  <si>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</si>
  <si>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</si>
  <si>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</si>
  <si>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</si>
  <si>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</si>
  <si>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</si>
  <si>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</si>
  <si>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</si>
  <si>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</si>
  <si>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</si>
  <si>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</si>
  <si>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</si>
  <si>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</si>
  <si>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</si>
  <si>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</si>
  <si>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</si>
  <si>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</si>
  <si>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</si>
  <si>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</si>
  <si>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</si>
  <si>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</si>
  <si>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</si>
  <si>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</si>
  <si>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</si>
  <si>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</si>
  <si>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</si>
  <si>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</si>
  <si>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</si>
  <si>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</si>
  <si>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</si>
  <si>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</si>
  <si>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</si>
  <si>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</si>
  <si>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</si>
  <si>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</si>
  <si>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</si>
  <si>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</si>
  <si>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</si>
  <si>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</si>
  <si>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</si>
  <si>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</si>
  <si>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</si>
  <si>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</si>
  <si>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</si>
  <si>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</si>
  <si>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</si>
  <si>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</si>
  <si>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</si>
  <si>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</si>
  <si>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</si>
  <si>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</si>
  <si>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</si>
  <si>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</si>
  <si>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</si>
  <si>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</si>
  <si>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</si>
  <si>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</si>
  <si>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</si>
  <si>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</si>
  <si>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</si>
  <si>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</si>
  <si>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</si>
  <si>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</si>
  <si>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</si>
  <si>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</si>
  <si>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</si>
  <si>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</si>
  <si>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</si>
  <si>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</si>
  <si>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</si>
  <si>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</si>
  <si>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</si>
  <si>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</si>
  <si>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</si>
  <si>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</si>
  <si>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</si>
  <si>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</si>
  <si>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</si>
  <si>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</si>
  <si>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</si>
  <si>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</si>
  <si>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</si>
  <si>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</si>
  <si>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</si>
  <si>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</si>
  <si>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</si>
  <si>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</si>
  <si>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</si>
  <si>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</si>
  <si>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</si>
  <si>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</si>
  <si>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</si>
  <si>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</si>
  <si>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</si>
  <si>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</si>
  <si>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</si>
  <si>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</si>
  <si>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</si>
  <si>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</si>
  <si>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</si>
  <si>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</si>
  <si>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</si>
  <si>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</si>
  <si>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</si>
  <si>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</si>
  <si>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</si>
  <si>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</si>
  <si>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</si>
  <si>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</si>
  <si>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</si>
  <si>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</si>
  <si>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</si>
  <si>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</si>
  <si>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</si>
  <si>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</si>
  <si>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</si>
  <si>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</si>
  <si>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</si>
  <si>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</si>
  <si>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</si>
  <si>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</si>
  <si>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</si>
  <si>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</si>
  <si>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</si>
  <si>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</si>
  <si>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</si>
  <si>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</si>
  <si>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</si>
  <si>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</si>
  <si>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</si>
  <si>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</si>
  <si>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</si>
  <si>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</si>
  <si>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</si>
  <si>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</si>
  <si>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</si>
  <si>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</si>
  <si>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</si>
  <si>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</si>
  <si>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</si>
  <si>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</si>
  <si>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</si>
  <si>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</si>
  <si>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</si>
  <si>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</si>
  <si>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</si>
  <si>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</si>
  <si>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</si>
  <si>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</si>
  <si>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</si>
  <si>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</si>
  <si>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</si>
  <si>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</si>
  <si>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</si>
  <si>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</si>
  <si>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</si>
  <si>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</si>
  <si>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</si>
  <si>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</si>
  <si>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</si>
  <si>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</si>
  <si>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</si>
  <si>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</si>
  <si>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</si>
  <si>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</si>
  <si>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</si>
  <si>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</si>
  <si>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</si>
  <si>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</si>
  <si>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</si>
  <si>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</si>
  <si>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</si>
  <si>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</si>
  <si>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</si>
  <si>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</si>
  <si>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</si>
  <si>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</si>
  <si>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</si>
  <si>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</si>
  <si>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</si>
  <si>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</si>
  <si>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</si>
  <si>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</si>
  <si>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</si>
  <si>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</si>
  <si>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</si>
  <si>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</si>
  <si>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</si>
  <si>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</si>
  <si>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</si>
  <si>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</si>
  <si>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</si>
  <si>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</si>
  <si>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</si>
  <si>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</si>
  <si>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</si>
  <si>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</si>
  <si>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</si>
  <si>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</si>
  <si>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</si>
  <si>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</si>
  <si>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</si>
  <si>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</si>
  <si>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</si>
  <si>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</si>
  <si>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</si>
  <si>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</si>
  <si>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</si>
  <si>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</si>
  <si>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</si>
  <si>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</si>
  <si>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</si>
  <si>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</si>
  <si>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</si>
  <si>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</si>
  <si>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</si>
  <si>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</si>
  <si>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</si>
  <si>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</si>
  <si>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</si>
  <si>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</si>
  <si>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</si>
  <si>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</si>
  <si>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</si>
  <si>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</si>
  <si>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</si>
  <si>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</si>
  <si>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</si>
  <si>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</si>
  <si>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</si>
  <si>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</si>
  <si>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</si>
  <si>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</si>
  <si>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</si>
  <si>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</si>
  <si>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</si>
  <si>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</si>
  <si>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</si>
  <si>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</si>
  <si>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</si>
  <si>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</si>
  <si>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</si>
  <si>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</si>
  <si>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</si>
  <si>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</si>
  <si>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</si>
  <si>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</si>
  <si>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</si>
  <si>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</si>
  <si>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</si>
  <si>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</si>
  <si>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</si>
  <si>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</si>
  <si>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</si>
  <si>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</si>
  <si>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</si>
  <si>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</si>
  <si>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</si>
  <si>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</si>
  <si>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</si>
  <si>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</si>
  <si>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</si>
  <si>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</si>
  <si>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</si>
  <si>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</si>
  <si>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</si>
  <si>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</si>
  <si>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</si>
  <si>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</si>
  <si>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</si>
  <si>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</si>
  <si>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</si>
  <si>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</si>
  <si>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</si>
  <si>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</si>
  <si>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</si>
  <si>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</si>
  <si>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</si>
  <si>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</si>
  <si>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</si>
  <si>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</si>
  <si>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</si>
  <si>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</si>
  <si>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</si>
  <si>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</si>
  <si>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</si>
  <si>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</si>
  <si>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</si>
  <si>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</si>
  <si>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</si>
  <si>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</si>
  <si>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</si>
  <si>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</si>
  <si>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</si>
  <si>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</si>
  <si>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</si>
  <si>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</si>
  <si>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</si>
  <si>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</si>
  <si>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</si>
  <si>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</si>
  <si>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</si>
  <si>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</si>
  <si>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</si>
  <si>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</si>
  <si>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</si>
  <si>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</si>
  <si>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</si>
  <si>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</si>
  <si>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</si>
  <si>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</si>
  <si>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</si>
  <si>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</si>
  <si>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</si>
  <si>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</si>
  <si>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</si>
  <si>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</si>
  <si>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</si>
  <si>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</si>
  <si>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</si>
  <si>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</si>
  <si>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</si>
  <si>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</si>
  <si>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</si>
  <si>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</si>
  <si>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</si>
  <si>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</si>
  <si>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</si>
  <si>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</si>
  <si>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</si>
  <si>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</si>
  <si>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</si>
  <si>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</si>
  <si>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</si>
  <si>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</si>
  <si>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</si>
  <si>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</si>
  <si>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</si>
  <si>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</si>
  <si>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</si>
  <si>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</si>
  <si>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</si>
  <si>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</si>
  <si>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</si>
  <si>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</si>
  <si>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</si>
  <si>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</si>
  <si>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</si>
  <si>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</si>
  <si>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</si>
  <si>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</si>
  <si>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</si>
  <si>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</si>
  <si>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</si>
  <si>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</si>
  <si>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</si>
  <si>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</si>
  <si>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</si>
  <si>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</si>
  <si>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</si>
  <si>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</si>
  <si>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</si>
  <si>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</si>
  <si>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</si>
  <si>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</si>
  <si>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</si>
  <si>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</si>
  <si>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</si>
  <si>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</si>
  <si>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</si>
  <si>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</si>
  <si>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</si>
  <si>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</si>
  <si>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</si>
  <si>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</si>
  <si>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</si>
  <si>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</si>
  <si>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</si>
  <si>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</si>
  <si>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</si>
  <si>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</si>
  <si>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</si>
  <si>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</si>
  <si>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</si>
  <si>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</si>
  <si>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</si>
  <si>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</si>
  <si>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</si>
  <si>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</si>
  <si>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</si>
  <si>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</si>
  <si>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</si>
  <si>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</si>
  <si>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</si>
  <si>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</si>
  <si>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</si>
  <si>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</si>
  <si>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</si>
  <si>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</si>
  <si>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</si>
  <si>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</si>
  <si>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</si>
  <si>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</si>
  <si>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</si>
  <si>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</si>
  <si>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</si>
  <si>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</si>
  <si>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</si>
  <si>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</si>
  <si>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</si>
  <si>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</si>
  <si>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</si>
  <si>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</si>
  <si>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</si>
  <si>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</si>
  <si>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</si>
  <si>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</si>
  <si>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</si>
  <si>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</si>
  <si>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</si>
  <si>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</si>
  <si>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</si>
  <si>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</si>
  <si>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</si>
  <si>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</si>
  <si>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</si>
  <si>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</si>
  <si>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</si>
  <si>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</si>
  <si>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</si>
  <si>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</si>
  <si>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</si>
  <si>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</si>
  <si>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</si>
  <si>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</si>
  <si>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</si>
  <si>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</si>
  <si>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</si>
  <si>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</si>
  <si>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</si>
  <si>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</si>
  <si>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</si>
  <si>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</si>
  <si>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</si>
  <si>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</si>
  <si>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</si>
  <si>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</si>
  <si>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</si>
  <si>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</si>
  <si>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</si>
  <si>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</si>
  <si>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</si>
  <si>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</si>
  <si>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</si>
  <si>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</si>
  <si>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</si>
  <si>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</si>
  <si>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</si>
  <si>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</si>
  <si>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</si>
  <si>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</si>
  <si>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</si>
  <si>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</si>
  <si>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</si>
  <si>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</si>
  <si>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</si>
  <si>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</si>
  <si>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</si>
  <si>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</si>
  <si>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</si>
  <si>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</si>
  <si>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</si>
  <si>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</si>
  <si>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</si>
  <si>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</si>
  <si>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</si>
  <si>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</si>
  <si>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</si>
  <si>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</si>
  <si>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</si>
  <si>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</si>
  <si>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</si>
  <si>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</si>
  <si>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</si>
  <si>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</si>
  <si>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</si>
  <si>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</si>
  <si>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</si>
  <si>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</si>
  <si>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</si>
  <si>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</si>
  <si>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</si>
  <si>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</si>
  <si>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</si>
  <si>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</si>
  <si>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</si>
  <si>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</si>
  <si>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</si>
  <si>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</si>
  <si>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</si>
  <si>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</si>
  <si>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</si>
  <si>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</si>
  <si>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</si>
  <si>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</si>
  <si>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</si>
  <si>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</si>
  <si>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</si>
  <si>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</si>
  <si>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</si>
  <si>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</si>
  <si>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</si>
  <si>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</si>
  <si>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</si>
  <si>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</si>
  <si>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</si>
  <si>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</si>
  <si>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</si>
  <si>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</si>
  <si>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</si>
  <si>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</si>
  <si>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</si>
  <si>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</si>
  <si>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</si>
  <si>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</si>
  <si>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</si>
  <si>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</si>
  <si>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</si>
  <si>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</si>
  <si>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</si>
  <si>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</si>
  <si>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</si>
  <si>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</si>
  <si>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</si>
  <si>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</si>
  <si>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</si>
  <si>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</si>
  <si>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</si>
  <si>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</si>
  <si>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</si>
  <si>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</si>
  <si>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</si>
  <si>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</si>
  <si>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</si>
  <si>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</si>
  <si>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</si>
  <si>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</si>
  <si>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</si>
  <si>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</si>
  <si>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</si>
  <si>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</si>
  <si>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</si>
  <si>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</si>
  <si>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</si>
  <si>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</si>
  <si>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</si>
  <si>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</si>
  <si>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</si>
  <si>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</si>
  <si>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</si>
  <si>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</si>
  <si>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</si>
  <si>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</si>
  <si>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</si>
  <si>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</si>
  <si>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</si>
  <si>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</si>
  <si>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</si>
  <si>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</si>
  <si>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</si>
  <si>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</si>
  <si>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</si>
  <si>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</si>
  <si>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</si>
  <si>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</si>
  <si>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</si>
  <si>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</si>
  <si>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</si>
  <si>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</si>
  <si>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</si>
  <si>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</si>
  <si>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</si>
  <si>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</si>
  <si>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</si>
  <si>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</si>
  <si>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</si>
  <si>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</si>
  <si>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</si>
  <si>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</si>
  <si>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</si>
  <si>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</si>
  <si>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</si>
  <si>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</si>
  <si>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</si>
  <si>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</si>
  <si>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</si>
  <si>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</si>
  <si>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</si>
  <si>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</si>
  <si>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</si>
  <si>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</si>
  <si>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</si>
  <si>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</si>
  <si>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</si>
  <si>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</si>
  <si>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</si>
  <si>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</si>
  <si>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</si>
  <si>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</si>
  <si>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</si>
  <si>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</si>
  <si>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</si>
  <si>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</si>
  <si>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</si>
  <si>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</si>
  <si>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</si>
  <si>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</si>
  <si>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</si>
  <si>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</si>
  <si>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</si>
  <si>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</si>
  <si>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</si>
  <si>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</si>
  <si>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</si>
  <si>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</si>
  <si>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</si>
  <si>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</si>
  <si>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</si>
  <si>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</si>
  <si>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</si>
  <si>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</si>
  <si>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</si>
  <si>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</si>
  <si>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</si>
  <si>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</si>
  <si>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</si>
  <si>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</si>
  <si>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</si>
  <si>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</si>
  <si>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</si>
  <si>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</si>
  <si>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</si>
  <si>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</si>
  <si>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</si>
  <si>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</si>
  <si>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</si>
  <si>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</si>
  <si>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</si>
  <si>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</si>
  <si>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</si>
  <si>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</si>
  <si>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</si>
  <si>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</si>
  <si>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</si>
  <si>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</si>
  <si>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</si>
  <si>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</si>
  <si>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</si>
  <si>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</si>
  <si>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</si>
  <si>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</si>
  <si>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</si>
  <si>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</si>
  <si>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</si>
  <si>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</si>
  <si>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</si>
  <si>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</si>
  <si>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</si>
  <si>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</si>
  <si>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</si>
  <si>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</si>
  <si>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</si>
  <si>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</si>
  <si>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</si>
  <si>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</si>
  <si>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</si>
  <si>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</si>
  <si>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</si>
  <si>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</si>
  <si>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</si>
  <si>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</si>
  <si>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</si>
  <si>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</si>
  <si>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</si>
  <si>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</si>
  <si>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</si>
  <si>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</si>
  <si>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</si>
  <si>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</si>
  <si>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</si>
  <si>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</si>
  <si>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</si>
  <si>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</si>
  <si>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</si>
  <si>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</si>
  <si>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</si>
  <si>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</si>
  <si>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</si>
  <si>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</si>
  <si>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</si>
  <si>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</si>
  <si>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</si>
  <si>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</si>
  <si>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</si>
  <si>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</si>
  <si>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</si>
  <si>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</si>
  <si>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</si>
  <si>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</si>
  <si>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</si>
  <si>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</si>
  <si>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</si>
  <si>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</si>
  <si>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</si>
  <si>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</si>
  <si>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</si>
  <si>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</si>
  <si>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</si>
  <si>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</si>
  <si>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</si>
  <si>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</si>
  <si>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</si>
  <si>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</si>
  <si>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</si>
  <si>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</si>
  <si>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</si>
  <si>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</si>
  <si>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</si>
  <si>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</si>
  <si>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</si>
  <si>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</si>
  <si>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</si>
  <si>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</si>
  <si>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</si>
  <si>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</si>
  <si>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</si>
  <si>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</si>
  <si>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</si>
  <si>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</si>
  <si>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</si>
  <si>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</si>
  <si>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</si>
  <si>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</si>
  <si>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</si>
  <si>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</si>
  <si>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</si>
  <si>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</si>
  <si>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</si>
  <si>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</si>
  <si>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</si>
  <si>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</si>
  <si>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</si>
  <si>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</si>
  <si>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</si>
  <si>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</si>
  <si>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</si>
  <si>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</si>
  <si>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</si>
  <si>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</si>
  <si>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</si>
  <si>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</si>
  <si>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</si>
  <si>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</si>
  <si>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</si>
  <si>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</si>
  <si>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</si>
  <si>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</si>
  <si>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</si>
  <si>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</si>
  <si>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</si>
  <si>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</si>
  <si>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</si>
  <si>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</si>
  <si>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</si>
  <si>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</si>
  <si>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</si>
  <si>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</si>
  <si>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</si>
  <si>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</si>
  <si>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</si>
  <si>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</si>
  <si>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</si>
  <si>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</si>
  <si>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</si>
  <si>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</si>
  <si>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</si>
  <si>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</si>
  <si>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</si>
  <si>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</si>
  <si>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</si>
  <si>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</si>
  <si>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</si>
  <si>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</si>
  <si>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</si>
  <si>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</si>
  <si>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</si>
  <si>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</si>
  <si>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</si>
  <si>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</si>
  <si>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</si>
  <si>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</si>
  <si>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</si>
  <si>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</si>
  <si>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</si>
  <si>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</si>
  <si>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</si>
  <si>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</si>
  <si>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</si>
  <si>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</si>
  <si>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</si>
  <si>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</si>
  <si>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</si>
  <si>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</si>
  <si>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</si>
  <si>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</si>
  <si>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</si>
  <si>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</si>
  <si>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</si>
  <si>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</si>
  <si>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</si>
  <si>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</si>
  <si>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</si>
  <si>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</si>
  <si>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</si>
  <si>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</si>
  <si>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</si>
  <si>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</si>
  <si>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</si>
  <si>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</si>
  <si>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</si>
  <si>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</si>
  <si>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</si>
  <si>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</si>
  <si>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</si>
  <si>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</si>
  <si>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</si>
  <si>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</si>
  <si>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</si>
  <si>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</si>
  <si>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</si>
  <si>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</si>
  <si>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</si>
  <si>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</si>
  <si>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</si>
  <si>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</si>
  <si>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</si>
  <si>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</si>
  <si>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</si>
  <si>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</si>
  <si>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</si>
  <si>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</si>
  <si>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</si>
  <si>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</si>
  <si>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</si>
  <si>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</si>
  <si>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</si>
  <si>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</si>
  <si>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</si>
  <si>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</si>
  <si>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</si>
  <si>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</si>
  <si>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</si>
  <si>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</si>
  <si>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</si>
  <si>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</si>
  <si>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</si>
  <si>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</si>
  <si>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</si>
  <si>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</si>
  <si>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</si>
  <si>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</si>
  <si>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</si>
  <si>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</si>
  <si>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</si>
  <si>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</si>
  <si>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</si>
  <si>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</si>
  <si>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</si>
  <si>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</si>
  <si>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</si>
  <si>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</si>
  <si>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</si>
  <si>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</si>
  <si>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</si>
  <si>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</si>
  <si>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</si>
  <si>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</si>
  <si>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</si>
  <si>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</si>
  <si>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</si>
  <si>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</si>
  <si>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</si>
  <si>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</si>
  <si>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</si>
  <si>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</si>
  <si>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</si>
  <si>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</si>
  <si>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</si>
  <si>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</si>
  <si>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</si>
  <si>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</si>
  <si>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</si>
  <si>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</si>
  <si>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</si>
  <si>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</si>
  <si>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</si>
  <si>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</si>
  <si>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</si>
  <si>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</si>
  <si>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</si>
  <si>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</si>
  <si>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</si>
  <si>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</si>
  <si>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</si>
  <si>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</si>
  <si>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</si>
  <si>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</si>
  <si>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</si>
  <si>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</si>
  <si>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</si>
  <si>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</si>
  <si>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</si>
  <si>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</si>
  <si>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</si>
  <si>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</si>
  <si>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</si>
  <si>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</si>
  <si>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</si>
  <si>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</si>
  <si>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</si>
  <si>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</si>
  <si>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</si>
  <si>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</si>
  <si>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</si>
  <si>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</si>
  <si>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</si>
  <si>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</si>
  <si>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</si>
  <si>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</si>
  <si>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</si>
  <si>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</si>
  <si>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</si>
  <si>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</si>
  <si>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</si>
  <si>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</si>
  <si>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</si>
  <si>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</si>
  <si>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</si>
  <si>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</si>
  <si>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</si>
  <si>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</si>
  <si>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</si>
  <si>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</si>
  <si>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</si>
  <si>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</si>
  <si>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</si>
  <si>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</si>
  <si>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</si>
  <si>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</si>
  <si>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</si>
  <si>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</si>
  <si>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</si>
  <si>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</si>
  <si>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</si>
  <si>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</si>
  <si>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</si>
  <si>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</si>
  <si>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</si>
  <si>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</si>
  <si>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</si>
  <si>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</si>
  <si>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</si>
  <si>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</si>
  <si>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</si>
  <si>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</si>
  <si>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</si>
  <si>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</si>
  <si>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</si>
  <si>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</si>
  <si>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</si>
  <si>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</si>
  <si>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</si>
  <si>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</si>
  <si>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</si>
  <si>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</si>
  <si>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</si>
  <si>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</si>
  <si>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</si>
  <si>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</si>
  <si>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</si>
  <si>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</si>
  <si>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</si>
  <si>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</si>
  <si>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</si>
  <si>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</si>
  <si>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</si>
  <si>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</si>
  <si>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</si>
  <si>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</si>
  <si>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</si>
  <si>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</si>
  <si>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</si>
  <si>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</si>
  <si>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</si>
  <si>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</si>
  <si>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</si>
  <si>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</si>
  <si>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</si>
  <si>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</si>
  <si>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</si>
  <si>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</si>
  <si>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</si>
  <si>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</si>
  <si>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</si>
  <si>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</si>
  <si>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</si>
  <si>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</si>
  <si>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</si>
  <si>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</si>
  <si>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</si>
  <si>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</si>
  <si>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</si>
  <si>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</si>
  <si>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</si>
  <si>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</si>
  <si>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</si>
  <si>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</si>
  <si>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</si>
  <si>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</si>
  <si>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</si>
  <si>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</si>
  <si>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</si>
  <si>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</si>
  <si>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</si>
  <si>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</si>
  <si>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</si>
  <si>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</si>
  <si>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</si>
  <si>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</si>
  <si>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</si>
  <si>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</si>
  <si>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</si>
  <si>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</si>
  <si>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</si>
  <si>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</si>
  <si>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</si>
  <si>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</si>
  <si>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</si>
  <si>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</si>
  <si>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</si>
  <si>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</si>
  <si>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</si>
  <si>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</si>
  <si>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</si>
  <si>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</si>
  <si>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</si>
  <si>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</si>
  <si>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</si>
  <si>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</si>
  <si>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</si>
  <si>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</si>
  <si>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</si>
  <si>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</si>
  <si>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</si>
  <si>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</si>
  <si>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</si>
  <si>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</si>
  <si>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</si>
  <si>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</si>
  <si>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</si>
  <si>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</si>
  <si>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</si>
  <si>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</si>
  <si>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昌平区英才北三街16号院4号楼3层304办公用房</t>
    <phoneticPr fontId="6" type="noConversion"/>
  </si>
  <si>
    <t>办公项目</t>
  </si>
  <si>
    <t>小汤山镇</t>
    <phoneticPr fontId="3" type="noConversion"/>
  </si>
  <si>
    <t>昌平绿地中央广场</t>
    <phoneticPr fontId="134" type="noConversion"/>
  </si>
  <si>
    <t>毛坯</t>
  </si>
  <si>
    <t>绿地中央广场·云谷</t>
    <phoneticPr fontId="31" type="noConversion"/>
  </si>
  <si>
    <t>绿地中央广场·云谷</t>
    <phoneticPr fontId="3" type="noConversion"/>
  </si>
  <si>
    <t>绿地慧谷中心</t>
    <phoneticPr fontId="31"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</si>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</sst>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13" borderId="1" xfId="1" applyNumberFormat="1" applyFont="1" applyFill="1" applyBorder="1" applyAlignment="1" applyProtection="1">
      <alignment horizontal="center" vertical="center"/>
      <protection locked="0"/>
    </xf>
    <xf numFmtId="9" fontId="47" fillId="13"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398629</xdr:colOff>
      <xdr:row>29</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71429" cy="4914286"/>
        </a:xfrm>
        <a:prstGeom prst="rect">
          <a:avLst/>
        </a:prstGeom>
      </xdr:spPr>
    </xdr:pic>
    <xdr:clientData/>
  </xdr:twoCellAnchor>
  <xdr:twoCellAnchor editAs="oneCell">
    <xdr:from>
      <xdr:col>0</xdr:col>
      <xdr:colOff>0</xdr:colOff>
      <xdr:row>31</xdr:row>
      <xdr:rowOff>0</xdr:rowOff>
    </xdr:from>
    <xdr:to>
      <xdr:col>16</xdr:col>
      <xdr:colOff>608153</xdr:colOff>
      <xdr:row>59</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4914286"/>
        </a:xfrm>
        <a:prstGeom prst="rect">
          <a:avLst/>
        </a:prstGeom>
      </xdr:spPr>
    </xdr:pic>
    <xdr:clientData/>
  </xdr:twoCellAnchor>
  <xdr:twoCellAnchor editAs="oneCell">
    <xdr:from>
      <xdr:col>0</xdr:col>
      <xdr:colOff>0</xdr:colOff>
      <xdr:row>61</xdr:row>
      <xdr:rowOff>0</xdr:rowOff>
    </xdr:from>
    <xdr:to>
      <xdr:col>16</xdr:col>
      <xdr:colOff>531963</xdr:colOff>
      <xdr:row>89</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504763" cy="4857143"/>
        </a:xfrm>
        <a:prstGeom prst="rect">
          <a:avLst/>
        </a:prstGeom>
      </xdr:spPr>
    </xdr:pic>
    <xdr:clientData/>
  </xdr:twoCellAnchor>
  <xdr:twoCellAnchor editAs="oneCell">
    <xdr:from>
      <xdr:col>0</xdr:col>
      <xdr:colOff>0</xdr:colOff>
      <xdr:row>92</xdr:row>
      <xdr:rowOff>0</xdr:rowOff>
    </xdr:from>
    <xdr:to>
      <xdr:col>11</xdr:col>
      <xdr:colOff>665724</xdr:colOff>
      <xdr:row>119</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8209524" cy="4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27201</xdr:colOff>
      <xdr:row>23</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000001" cy="3828572"/>
        </a:xfrm>
        <a:prstGeom prst="rect">
          <a:avLst/>
        </a:prstGeom>
      </xdr:spPr>
    </xdr:pic>
    <xdr:clientData/>
  </xdr:twoCellAnchor>
  <xdr:twoCellAnchor editAs="oneCell">
    <xdr:from>
      <xdr:col>0</xdr:col>
      <xdr:colOff>0</xdr:colOff>
      <xdr:row>24</xdr:row>
      <xdr:rowOff>0</xdr:rowOff>
    </xdr:from>
    <xdr:to>
      <xdr:col>15</xdr:col>
      <xdr:colOff>513001</xdr:colOff>
      <xdr:row>46</xdr:row>
      <xdr:rowOff>94767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10800001" cy="3866667"/>
        </a:xfrm>
        <a:prstGeom prst="rect">
          <a:avLst/>
        </a:prstGeom>
      </xdr:spPr>
    </xdr:pic>
    <xdr:clientData/>
  </xdr:twoCellAnchor>
  <xdr:twoCellAnchor editAs="oneCell">
    <xdr:from>
      <xdr:col>0</xdr:col>
      <xdr:colOff>0</xdr:colOff>
      <xdr:row>49</xdr:row>
      <xdr:rowOff>0</xdr:rowOff>
    </xdr:from>
    <xdr:to>
      <xdr:col>16</xdr:col>
      <xdr:colOff>131963</xdr:colOff>
      <xdr:row>78</xdr:row>
      <xdr:rowOff>66046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104763" cy="5038096"/>
        </a:xfrm>
        <a:prstGeom prst="rect">
          <a:avLst/>
        </a:prstGeom>
      </xdr:spPr>
    </xdr:pic>
    <xdr:clientData/>
  </xdr:twoCellAnchor>
  <xdr:twoCellAnchor editAs="oneCell">
    <xdr:from>
      <xdr:col>18</xdr:col>
      <xdr:colOff>0</xdr:colOff>
      <xdr:row>66</xdr:row>
      <xdr:rowOff>0</xdr:rowOff>
    </xdr:from>
    <xdr:to>
      <xdr:col>34</xdr:col>
      <xdr:colOff>303391</xdr:colOff>
      <xdr:row>93</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1315700"/>
          <a:ext cx="11276191" cy="4771429"/>
        </a:xfrm>
        <a:prstGeom prst="rect">
          <a:avLst/>
        </a:prstGeom>
      </xdr:spPr>
    </xdr:pic>
    <xdr:clientData/>
  </xdr:twoCellAnchor>
  <xdr:twoCellAnchor editAs="oneCell">
    <xdr:from>
      <xdr:col>0</xdr:col>
      <xdr:colOff>0</xdr:colOff>
      <xdr:row>80</xdr:row>
      <xdr:rowOff>0</xdr:rowOff>
    </xdr:from>
    <xdr:to>
      <xdr:col>16</xdr:col>
      <xdr:colOff>103391</xdr:colOff>
      <xdr:row>111</xdr:row>
      <xdr:rowOff>66003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16000"/>
          <a:ext cx="11076191" cy="5380953"/>
        </a:xfrm>
        <a:prstGeom prst="rect">
          <a:avLst/>
        </a:prstGeom>
      </xdr:spPr>
    </xdr:pic>
    <xdr:clientData/>
  </xdr:twoCellAnchor>
  <xdr:twoCellAnchor editAs="oneCell">
    <xdr:from>
      <xdr:col>0</xdr:col>
      <xdr:colOff>0</xdr:colOff>
      <xdr:row>112</xdr:row>
      <xdr:rowOff>0</xdr:rowOff>
    </xdr:from>
    <xdr:to>
      <xdr:col>9</xdr:col>
      <xdr:colOff>65896</xdr:colOff>
      <xdr:row>130</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202400"/>
          <a:ext cx="6238096" cy="3095238"/>
        </a:xfrm>
        <a:prstGeom prst="rect">
          <a:avLst/>
        </a:prstGeom>
      </xdr:spPr>
    </xdr:pic>
    <xdr:clientData/>
  </xdr:twoCellAnchor>
  <xdr:twoCellAnchor editAs="oneCell">
    <xdr:from>
      <xdr:col>0</xdr:col>
      <xdr:colOff>0</xdr:colOff>
      <xdr:row>132</xdr:row>
      <xdr:rowOff>0</xdr:rowOff>
    </xdr:from>
    <xdr:to>
      <xdr:col>16</xdr:col>
      <xdr:colOff>93867</xdr:colOff>
      <xdr:row>160</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11066667" cy="4809524"/>
        </a:xfrm>
        <a:prstGeom prst="rect">
          <a:avLst/>
        </a:prstGeom>
      </xdr:spPr>
    </xdr:pic>
    <xdr:clientData/>
  </xdr:twoCellAnchor>
  <xdr:twoCellAnchor editAs="oneCell">
    <xdr:from>
      <xdr:col>0</xdr:col>
      <xdr:colOff>0</xdr:colOff>
      <xdr:row>161</xdr:row>
      <xdr:rowOff>0</xdr:rowOff>
    </xdr:from>
    <xdr:to>
      <xdr:col>8</xdr:col>
      <xdr:colOff>685029</xdr:colOff>
      <xdr:row>177</xdr:row>
      <xdr:rowOff>66324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03450"/>
          <a:ext cx="6171429" cy="2809524"/>
        </a:xfrm>
        <a:prstGeom prst="rect">
          <a:avLst/>
        </a:prstGeom>
      </xdr:spPr>
    </xdr:pic>
    <xdr:clientData/>
  </xdr:twoCellAnchor>
  <xdr:twoCellAnchor editAs="oneCell">
    <xdr:from>
      <xdr:col>0</xdr:col>
      <xdr:colOff>0</xdr:colOff>
      <xdr:row>179</xdr:row>
      <xdr:rowOff>0</xdr:rowOff>
    </xdr:from>
    <xdr:to>
      <xdr:col>15</xdr:col>
      <xdr:colOff>255858</xdr:colOff>
      <xdr:row>207</xdr:row>
      <xdr:rowOff>151781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689550"/>
          <a:ext cx="10542858" cy="4952381"/>
        </a:xfrm>
        <a:prstGeom prst="rect">
          <a:avLst/>
        </a:prstGeom>
      </xdr:spPr>
    </xdr:pic>
    <xdr:clientData/>
  </xdr:twoCellAnchor>
  <xdr:twoCellAnchor editAs="oneCell">
    <xdr:from>
      <xdr:col>0</xdr:col>
      <xdr:colOff>0</xdr:colOff>
      <xdr:row>209</xdr:row>
      <xdr:rowOff>0</xdr:rowOff>
    </xdr:from>
    <xdr:to>
      <xdr:col>8</xdr:col>
      <xdr:colOff>170743</xdr:colOff>
      <xdr:row>226</xdr:row>
      <xdr:rowOff>142493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833050"/>
          <a:ext cx="5657143" cy="3057143"/>
        </a:xfrm>
        <a:prstGeom prst="rect">
          <a:avLst/>
        </a:prstGeom>
      </xdr:spPr>
    </xdr:pic>
    <xdr:clientData/>
  </xdr:twoCellAnchor>
  <xdr:twoCellAnchor editAs="oneCell">
    <xdr:from>
      <xdr:col>16</xdr:col>
      <xdr:colOff>200025</xdr:colOff>
      <xdr:row>0</xdr:row>
      <xdr:rowOff>28575</xdr:rowOff>
    </xdr:from>
    <xdr:to>
      <xdr:col>27</xdr:col>
      <xdr:colOff>580035</xdr:colOff>
      <xdr:row>31</xdr:row>
      <xdr:rowOff>37435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72825" y="28575"/>
          <a:ext cx="7923810"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1193" customWidth="1"/>
    <col min="2" max="2" width="81" style="1210" customWidth="1"/>
    <col min="3" max="16384" width="9" style="1208"/>
  </cols>
  <sheetData>
    <row r="1" spans="1:2" s="1196" customFormat="1" ht="16" thickBot="1">
      <c r="A1" s="1195" t="s">
        <v>521</v>
      </c>
      <c r="B1" s="1194" t="s">
        <v>600</v>
      </c>
    </row>
    <row r="2" spans="1:2" s="1199" customFormat="1" ht="15.5" thickTop="1">
      <c r="A2" s="1197" t="s">
        <v>522</v>
      </c>
      <c r="B2" s="1198" t="str">
        <f>'预评函-封皮'!B37:I37</f>
        <v>北京市昌平区英才北三街16号院4号楼3层304办公用房房地产抵押价值预评估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5" thickBot="1">
      <c r="A5" s="1203" t="s">
        <v>525</v>
      </c>
      <c r="B5" s="1204" t="str">
        <f>'预评函-封皮'!B49</f>
        <v>康正预评字号</v>
      </c>
    </row>
    <row r="6" spans="1:2" s="1199" customFormat="1" ht="15.5" thickTop="1">
      <c r="A6" s="1197" t="s">
        <v>526</v>
      </c>
      <c r="B6" s="1198" t="str">
        <f>'预评函-1'!A4</f>
        <v>受贵公司委托，我公司对北京市昌平区英才北三街16号院4号楼3层304办公用房房地产抵押价值进行了预评估。</v>
      </c>
    </row>
    <row r="7" spans="1:2" s="1202" customFormat="1">
      <c r="A7" s="1200" t="s">
        <v>566</v>
      </c>
      <c r="B7" s="1201" t="str">
        <f>'预评函-1'!A7</f>
        <v>估价对象为北京市昌平区英才北三街16号院4号楼3层304办公用房房地产，为所有。根据《国有土地使用证》[]，估价对象（分摊）出让国有建设用地使用权面积为0平方米，建筑面积为148.12平方米。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2025年2月28日（评估专业人员实地查勘之日）</v>
      </c>
    </row>
    <row r="13" spans="1:2" s="1202" customFormat="1">
      <c r="A13" s="1200" t="s">
        <v>529</v>
      </c>
      <c r="B13" s="1201"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5" thickBot="1">
      <c r="A18" s="1203" t="s">
        <v>534</v>
      </c>
      <c r="B18" s="1204" t="str">
        <f>'预评函-1'!A24</f>
        <v>本次评估采用的主估价方法为比较法和收益法。</v>
      </c>
    </row>
    <row r="19" spans="1:2" s="1199" customFormat="1" ht="15.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326</v>
      </c>
    </row>
    <row r="21" spans="1:2" s="1202" customFormat="1">
      <c r="A21" s="1200" t="s">
        <v>537</v>
      </c>
      <c r="B21" s="1201">
        <f ca="1">'预评函-2'!D7</f>
        <v>22005</v>
      </c>
    </row>
    <row r="22" spans="1:2" s="1202" customFormat="1">
      <c r="A22" s="1200" t="s">
        <v>538</v>
      </c>
      <c r="B22" s="1201" t="str">
        <f ca="1">'预评函-2'!D6</f>
        <v>叁佰贰拾陆万元整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326</v>
      </c>
    </row>
    <row r="31" spans="1:2" s="1202" customFormat="1">
      <c r="A31" s="1200" t="s">
        <v>576</v>
      </c>
      <c r="B31" s="1201">
        <f ca="1">'预评函-2'!D15</f>
        <v>22005</v>
      </c>
    </row>
    <row r="32" spans="1:2" s="1202" customFormat="1">
      <c r="A32" s="1200" t="s">
        <v>543</v>
      </c>
      <c r="B32" s="1201" t="str">
        <f ca="1">'预评函-2'!D14</f>
        <v>叁佰贰拾陆万元整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北京市昌平区英才北三街16号院4号楼3层304办公用房房地产</v>
      </c>
    </row>
    <row r="42" spans="1:2" s="1202" customFormat="1" ht="30">
      <c r="A42" s="1200" t="s">
        <v>590</v>
      </c>
      <c r="B42" s="1201" t="str">
        <f>'预评函-3'!B2</f>
        <v>建筑面积</v>
      </c>
    </row>
    <row r="43" spans="1:2" s="1202" customFormat="1">
      <c r="A43" s="1200" t="s">
        <v>591</v>
      </c>
      <c r="B43" s="1201">
        <f>'预评函-3'!B4</f>
        <v>148.12</v>
      </c>
    </row>
    <row r="44" spans="1:2" s="1202" customFormat="1" ht="30">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228</v>
      </c>
    </row>
    <row r="48" spans="1:2" s="1202" customFormat="1">
      <c r="A48" s="1200" t="s">
        <v>549</v>
      </c>
      <c r="B48" s="1201">
        <f ca="1">'预评函-3'!E4</f>
        <v>15426</v>
      </c>
    </row>
    <row r="49" spans="1:2" s="1202" customFormat="1">
      <c r="A49" s="1200" t="s">
        <v>550</v>
      </c>
      <c r="B49" s="1201" t="str">
        <f ca="1">'预评函-3'!D5</f>
        <v>贰佰贰拾捌万元整</v>
      </c>
    </row>
    <row r="50" spans="1:2" s="1202" customFormat="1">
      <c r="A50" s="1200" t="s">
        <v>574</v>
      </c>
      <c r="B50" s="1201" t="str">
        <f>'预评函-3'!F2</f>
        <v>在建建筑物价值</v>
      </c>
    </row>
    <row r="51" spans="1:2" s="1202" customFormat="1">
      <c r="A51" s="1200" t="s">
        <v>551</v>
      </c>
      <c r="B51" s="1201">
        <f ca="1">'预评函-3'!F4</f>
        <v>97</v>
      </c>
    </row>
    <row r="52" spans="1:2" s="1202" customFormat="1">
      <c r="A52" s="1200" t="s">
        <v>552</v>
      </c>
      <c r="B52" s="1201">
        <f ca="1">'预评函-3'!G4</f>
        <v>6579</v>
      </c>
    </row>
    <row r="53" spans="1:2" s="1202" customFormat="1">
      <c r="A53" s="1200" t="s">
        <v>580</v>
      </c>
      <c r="B53" s="1201" t="str">
        <f ca="1">'预评函-3'!F5</f>
        <v>玖拾柒万元整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5" thickBot="1">
      <c r="A57" s="1203" t="s">
        <v>599</v>
      </c>
      <c r="B57" s="1204" t="str">
        <f>'预评函-3'!A6</f>
        <v>估价师知悉的法定优先受偿款</v>
      </c>
    </row>
    <row r="58" spans="1:2" s="1199" customFormat="1" ht="15.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5" thickBot="1">
      <c r="A69" s="1203" t="s">
        <v>561</v>
      </c>
      <c r="B69" s="1205">
        <f>'预评函-4'!C31</f>
        <v>42551</v>
      </c>
    </row>
    <row r="70" spans="1:2" ht="15.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5" thickBot="1">
      <c r="A73" s="1203" t="s">
        <v>565</v>
      </c>
      <c r="B73" s="1204">
        <f ca="1">'预评函-4'!B5</f>
        <v>1120100036</v>
      </c>
    </row>
    <row r="74" spans="1:2" ht="15.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1555" customWidth="1"/>
    <col min="2" max="2" width="23.26953125" style="1506" customWidth="1"/>
    <col min="3" max="3" width="13" style="1550" customWidth="1"/>
    <col min="4" max="4" width="5.7265625" style="1547" customWidth="1"/>
    <col min="5" max="5" width="7.08984375" style="1547" customWidth="1"/>
    <col min="6" max="6" width="10.6328125" style="1547" customWidth="1"/>
    <col min="7" max="7" width="7.453125" style="1547" customWidth="1"/>
    <col min="8" max="8" width="11.90625" style="1550" customWidth="1"/>
    <col min="9" max="9" width="11.6328125" style="1550" customWidth="1"/>
    <col min="10" max="10" width="9" style="1550" customWidth="1"/>
    <col min="11" max="19" width="9" style="1547" customWidth="1"/>
    <col min="20" max="23" width="9" style="1550" customWidth="1"/>
    <col min="24" max="24" width="21.08984375" style="1506" customWidth="1"/>
    <col min="25" max="16384" width="9" style="1506"/>
  </cols>
  <sheetData>
    <row r="1" spans="1:23" s="1544" customFormat="1" ht="42">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13"/>
    <col min="8" max="8" width="5.453125" style="3013" customWidth="1"/>
    <col min="9" max="13" width="9.453125" style="3055" customWidth="1"/>
    <col min="14" max="18" width="9.453125" style="3013" customWidth="1"/>
    <col min="19" max="16384" width="15.269531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4" t="s">
        <v>2579</v>
      </c>
      <c r="J2" s="3524"/>
      <c r="K2" s="3524"/>
      <c r="L2" s="3524"/>
      <c r="M2" s="3524"/>
      <c r="N2" s="3524"/>
      <c r="O2" s="3524"/>
      <c r="P2" s="3524"/>
      <c r="Q2" s="3524"/>
      <c r="R2" s="3524"/>
    </row>
    <row r="3" spans="1:18">
      <c r="A3" s="3017" t="s">
        <v>2500</v>
      </c>
      <c r="B3" s="3018">
        <f>项目基本情况!D3</f>
        <v>45716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v>
      </c>
      <c r="D5" s="3022">
        <f>IF(ISERROR(ROUND(POWER(1+E5,A5-C5)*(POWER(1+E5,C5)-1)/(POWER(1+E5,A5)-1),3)),0,ROUND(POWER(1+E5,A5-C5)*(POWER(1+E5,C5)-1)/(POWER(1+E5,A5)-1),4))</f>
        <v>8.6099999999999996E-2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11.81</v>
      </c>
      <c r="D6" s="3022">
        <f>IF(ISERROR(ROUND(POWER(1+E6,A6-C6)*(POWER(1+E6,C6)-1)/(POWER(1+E6,A6)-1),3)),0,ROUND(POWER(1+E6,A6-C6)*(POWER(1+E6,C6)-1)/(POWER(1+E6,A6)-1),4))</f>
        <v>0.43140000000000001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31.82</v>
      </c>
      <c r="D7" s="3022">
        <f>IF(ISERROR(ROUND(POWER(1+E7,A7-C7)*(POWER(1+E7,C7)-1)/(POWER(1+E7,A7)-1),3)),0,ROUND(POWER(1+E7,A7-C7)*(POWER(1+E7,C7)-1)/(POWER(1+E7,A7)-1),4))</f>
        <v>0.76180000000000003</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5" thickBot="1">
      <c r="A18" s="3028" t="s">
        <v>2515</v>
      </c>
      <c r="B18" s="3029">
        <f>ROUND(B17*F11/F12,2)</f>
        <v>5541.87</v>
      </c>
      <c r="C18" s="3029">
        <f>ROUND(F11/F12,4)</f>
        <v>1.1521999999999999</v>
      </c>
      <c r="D18" s="3030"/>
      <c r="E18" s="3030"/>
      <c r="F18" s="3031"/>
    </row>
    <row r="19" spans="1:14" ht="14.5" thickBot="1"/>
    <row r="20" spans="1:14" s="3066" customFormat="1" ht="14.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5"/>
  <cols>
    <col min="1" max="1" width="16.90625" style="1744" customWidth="1"/>
    <col min="2" max="2" width="10" style="1744" customWidth="1"/>
    <col min="3" max="3" width="11.453125" style="1744" customWidth="1"/>
    <col min="4" max="4" width="11.7265625" style="1744" customWidth="1"/>
    <col min="5" max="5" width="12.6328125" style="1744" customWidth="1"/>
    <col min="6" max="6" width="10" style="1744" customWidth="1"/>
    <col min="7" max="7" width="10.7265625" style="1744" customWidth="1"/>
    <col min="8" max="8" width="10" style="1744" customWidth="1"/>
    <col min="9" max="9" width="11.08984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3" t="str">
        <f>IF(B10="北京市","北京市",C10)&amp;F10&amp;IF(结果表!G1="在建","出让国有建设用地使用权及在建建筑物",IF(结果表!G1="土地","出让国有建设用地使用权",))&amp;B9&amp;"预评估"</f>
        <v>北京市昌平区英才北三街16号院4号楼3层304办公用房房地产抵押价值预评估</v>
      </c>
      <c r="C1" s="3534"/>
      <c r="D1" s="3534"/>
      <c r="E1" s="3534"/>
      <c r="F1" s="3534"/>
      <c r="G1" s="3534"/>
      <c r="H1" s="3534"/>
      <c r="I1" s="353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北京市昌平区英才北三街16号院4号楼3层304办公用房房地产抵押价值</v>
      </c>
      <c r="T1" s="1744"/>
      <c r="U1" s="1744"/>
      <c r="V1" s="1744"/>
      <c r="W1" s="1744"/>
      <c r="X1" s="1744"/>
      <c r="Y1" s="1744"/>
      <c r="Z1" s="1744"/>
      <c r="AA1" s="1744"/>
      <c r="AB1" s="1744"/>
    </row>
    <row r="2" spans="1:30" ht="13">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北京市昌平区英才北三街16号院4号楼3层304办公用房房地产</v>
      </c>
      <c r="T2" s="1744"/>
      <c r="U2" s="1744"/>
      <c r="V2" s="1744"/>
      <c r="W2" s="1744"/>
      <c r="X2" s="1744"/>
      <c r="Y2" s="1744"/>
      <c r="Z2" s="1744"/>
      <c r="AA2" s="1744"/>
      <c r="AB2" s="1744"/>
    </row>
    <row r="3" spans="1:30" ht="13">
      <c r="A3" s="302" t="s">
        <v>2169</v>
      </c>
      <c r="B3" s="2372">
        <v>45716</v>
      </c>
      <c r="C3" s="2373" t="s">
        <v>2170</v>
      </c>
      <c r="D3" s="2372">
        <f>B3</f>
        <v>45716</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ht="13">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ht="13">
      <c r="A7" s="2381" t="s">
        <v>2174</v>
      </c>
      <c r="B7" s="2385"/>
      <c r="C7" s="2383"/>
      <c r="D7" s="2384"/>
      <c r="E7" s="2660"/>
      <c r="F7" s="2662"/>
      <c r="G7" s="2662"/>
      <c r="H7" s="2662"/>
      <c r="I7" s="2662"/>
      <c r="J7" s="2437"/>
      <c r="K7" s="2614"/>
      <c r="L7" s="2611"/>
      <c r="M7" s="2611"/>
      <c r="N7" s="2437"/>
      <c r="O7" s="2448"/>
      <c r="P7" s="2437"/>
      <c r="Q7" s="2437"/>
      <c r="R7" s="2437"/>
    </row>
    <row r="8" spans="1:30" ht="13">
      <c r="A8" s="2386" t="s">
        <v>2175</v>
      </c>
      <c r="B8" s="2387" t="s">
        <v>3402</v>
      </c>
      <c r="C8" s="2388"/>
      <c r="D8" s="3536"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7"/>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3524</v>
      </c>
      <c r="G10" s="2664"/>
      <c r="H10" s="2665"/>
      <c r="I10" s="2666"/>
      <c r="J10" s="2437"/>
      <c r="K10" s="2614"/>
      <c r="L10" s="2611"/>
      <c r="M10" s="2611"/>
      <c r="N10" s="2437"/>
      <c r="O10" s="2448"/>
      <c r="P10" s="2437"/>
      <c r="Q10" s="2437"/>
      <c r="R10" s="2437"/>
    </row>
    <row r="11" spans="1:30" ht="13">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ht="13">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ht="13">
      <c r="A13" s="3420" t="s">
        <v>3330</v>
      </c>
      <c r="B13" s="2405" t="s">
        <v>2189</v>
      </c>
      <c r="C13" s="855"/>
      <c r="D13" s="855"/>
      <c r="E13" s="855">
        <v>59636</v>
      </c>
      <c r="F13" s="855"/>
      <c r="G13" s="855"/>
      <c r="H13" s="855"/>
      <c r="I13" s="855"/>
      <c r="J13" s="3059"/>
      <c r="K13" s="2611"/>
      <c r="L13" s="2611"/>
      <c r="M13" s="2437"/>
      <c r="N13" s="2448"/>
      <c r="O13" s="2437"/>
      <c r="P13" s="2437"/>
      <c r="Q13" s="2437"/>
      <c r="AD13" s="1744"/>
    </row>
    <row r="14" spans="1:30" ht="13">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ht="13">
      <c r="A15" s="320"/>
      <c r="B15" s="2407" t="s">
        <v>2191</v>
      </c>
      <c r="C15" s="2408" t="str">
        <f>IF(A13="出让",IF(C13="","",ROUNDDOWN(MIN((C13-$D$3)/365,C14),2)),C14)</f>
        <v/>
      </c>
      <c r="D15" s="2408" t="str">
        <f>IF(A13="出让",IF(D13="","",ROUNDDOWN(MIN((D13-$D$3)/365,D14),2)),D14)</f>
        <v/>
      </c>
      <c r="E15" s="2408">
        <f>IF(A13="出让",IF(E13="","",ROUNDDOWN(MIN((E13-$D$3)/365,E14),2)),E14)</f>
        <v>38.130000000000003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ht="13">
      <c r="A16" s="2398" t="s">
        <v>2192</v>
      </c>
      <c r="B16" s="3543"/>
      <c r="C16" s="3544"/>
      <c r="D16" s="3545"/>
      <c r="E16" s="2411" t="s">
        <v>2193</v>
      </c>
      <c r="F16" s="3546"/>
      <c r="G16" s="3547"/>
      <c r="H16" s="3547"/>
      <c r="I16" s="3548"/>
      <c r="J16" s="2437"/>
      <c r="K16" s="2615"/>
      <c r="L16" s="2449"/>
      <c r="M16" s="2449"/>
      <c r="N16" s="2507"/>
      <c r="O16" s="2449"/>
      <c r="P16" s="2507"/>
      <c r="Q16" s="2437"/>
      <c r="R16" s="2437"/>
    </row>
    <row r="17" spans="1:28" ht="13">
      <c r="A17" s="313" t="s">
        <v>2194</v>
      </c>
      <c r="B17" s="302" t="s">
        <v>2195</v>
      </c>
      <c r="C17" s="8">
        <f>'数据-汇总表'!E3</f>
        <v>148.12</v>
      </c>
      <c r="D17" s="2321" t="s">
        <v>2196</v>
      </c>
      <c r="E17" s="3549" t="s">
        <v>2197</v>
      </c>
      <c r="F17" s="3550"/>
      <c r="G17" s="3550"/>
      <c r="H17" s="3550"/>
      <c r="I17" s="3551"/>
      <c r="J17" s="2437"/>
      <c r="K17" s="2616"/>
      <c r="L17" s="2449"/>
      <c r="M17" s="2449"/>
      <c r="N17" s="2507"/>
      <c r="O17" s="2449"/>
      <c r="P17" s="2507"/>
      <c r="Q17" s="2437"/>
      <c r="R17" s="2437"/>
      <c r="S17" s="2437"/>
      <c r="T17" s="2437"/>
      <c r="U17" s="2437"/>
      <c r="V17" s="2437"/>
    </row>
    <row r="18" spans="1:28" ht="26.5" thickBot="1">
      <c r="A18" s="2412" t="s">
        <v>2198</v>
      </c>
      <c r="B18" s="1089" t="s">
        <v>2199</v>
      </c>
      <c r="C18" s="2413">
        <f>'数据-汇总表'!D3</f>
        <v>0</v>
      </c>
      <c r="D18" s="1091" t="s">
        <v>2200</v>
      </c>
      <c r="E18" s="3552" t="s">
        <v>2201</v>
      </c>
      <c r="F18" s="3553"/>
      <c r="G18" s="3553"/>
      <c r="H18" s="3553"/>
      <c r="I18" s="3554"/>
      <c r="J18" s="2437"/>
      <c r="K18" s="2616"/>
      <c r="L18" s="2449"/>
      <c r="M18" s="2449"/>
      <c r="N18" s="2507"/>
      <c r="O18" s="2449"/>
      <c r="P18" s="2507"/>
      <c r="Q18" s="2437"/>
      <c r="R18" s="2437"/>
      <c r="S18" s="2437"/>
      <c r="T18" s="2437"/>
      <c r="U18" s="2437"/>
      <c r="V18" s="2437"/>
    </row>
    <row r="19" spans="1:28" ht="27"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ht="13">
      <c r="A20" s="2630" t="s">
        <v>2204</v>
      </c>
      <c r="B20" s="3539" t="s">
        <v>2205</v>
      </c>
      <c r="C20" s="3540"/>
      <c r="D20" s="3541" t="s">
        <v>2206</v>
      </c>
      <c r="E20" s="3542"/>
      <c r="F20" s="2645" t="s">
        <v>1056</v>
      </c>
      <c r="G20" s="2662"/>
      <c r="H20" s="2662"/>
      <c r="I20" s="2662"/>
      <c r="J20" s="2437"/>
      <c r="K20" s="353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5" thickBot="1">
      <c r="A21" s="2630"/>
      <c r="B21" s="2631" t="s">
        <v>2208</v>
      </c>
      <c r="C21" s="2632" t="s">
        <v>1057</v>
      </c>
      <c r="D21" s="1567" t="s">
        <v>2209</v>
      </c>
      <c r="E21" s="2633" t="s">
        <v>1057</v>
      </c>
      <c r="F21" s="2646"/>
      <c r="G21" s="2662"/>
      <c r="H21" s="2662"/>
      <c r="I21" s="2662"/>
      <c r="J21" s="2437"/>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6.5" thickBot="1">
      <c r="A22" s="2630"/>
      <c r="B22" s="2634" t="s">
        <v>2210</v>
      </c>
      <c r="C22" s="2632" t="s">
        <v>1058</v>
      </c>
      <c r="D22" s="2661"/>
      <c r="E22" s="2661"/>
      <c r="F22" s="2661"/>
      <c r="G22" s="2662"/>
      <c r="H22" s="2662"/>
      <c r="I22" s="2662"/>
      <c r="J22" s="2437"/>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ht="13">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ht="13">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ht="13">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2213</v>
      </c>
      <c r="B27" s="320" t="s">
        <v>2214</v>
      </c>
      <c r="C27" s="2414" t="s">
        <v>3525</v>
      </c>
      <c r="D27" s="2415"/>
      <c r="E27" s="2662"/>
      <c r="F27" s="2662"/>
      <c r="G27" s="2662"/>
      <c r="H27" s="2662"/>
      <c r="I27" s="2662"/>
      <c r="J27" s="2437"/>
      <c r="K27" s="2615"/>
      <c r="L27" s="2449"/>
      <c r="M27" s="2449"/>
      <c r="N27" s="2507"/>
      <c r="O27" s="2449"/>
      <c r="P27" s="2507"/>
      <c r="Q27" s="2437"/>
      <c r="R27" s="2437"/>
      <c r="S27" s="2437"/>
      <c r="T27" s="2437"/>
      <c r="U27" s="2437"/>
      <c r="V27" s="2437"/>
    </row>
    <row r="28" spans="1:28" ht="13">
      <c r="A28" s="3526"/>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ht="13">
      <c r="A29" s="3526"/>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ht="13">
      <c r="A30" s="3527"/>
      <c r="B30" s="302" t="s">
        <v>2217</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ht="13">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25" t="s">
        <v>2227</v>
      </c>
      <c r="T34" s="2426" t="str">
        <f>NUMBERSTRING(7-K34,1)&amp;"通"</f>
        <v>七通</v>
      </c>
      <c r="U34" s="2437"/>
      <c r="V34" s="2437"/>
    </row>
    <row r="35" spans="1:30">
      <c r="A35" s="2427"/>
      <c r="B35" s="3532" t="s">
        <v>2228</v>
      </c>
      <c r="C35" s="3532"/>
      <c r="D35" s="3532"/>
      <c r="E35" s="353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ht="13">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ht="13">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ht="13">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6">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90625" defaultRowHeight="14"/>
  <cols>
    <col min="1" max="1" width="10.6328125" style="1572" customWidth="1"/>
    <col min="2" max="2" width="11" style="1572" customWidth="1"/>
    <col min="3" max="3" width="10.36328125" style="1572" customWidth="1"/>
    <col min="4" max="4" width="9.08984375" style="1572" customWidth="1"/>
    <col min="5" max="6" width="10" style="1633" customWidth="1"/>
    <col min="7" max="8" width="10" style="1572" customWidth="1"/>
    <col min="9" max="9" width="10.6328125" style="1572" customWidth="1"/>
    <col min="10" max="10" width="9.453125" style="1572" customWidth="1"/>
    <col min="11" max="11" width="11" style="1572" customWidth="1"/>
    <col min="12" max="14" width="9.453125" style="1572" customWidth="1"/>
    <col min="15" max="15" width="9.90625" style="1572" customWidth="1"/>
    <col min="16" max="16" width="9.7265625" style="1572" customWidth="1"/>
    <col min="17" max="17" width="9.36328125" style="1572" customWidth="1"/>
    <col min="18" max="18" width="9.26953125" style="1572" customWidth="1"/>
    <col min="19" max="19" width="10.90625" style="1572" customWidth="1"/>
    <col min="20" max="21" width="10.7265625" style="1572" customWidth="1"/>
    <col min="22" max="22" width="10.90625" style="1572" customWidth="1"/>
    <col min="23" max="27" width="10.7265625" style="1572" customWidth="1"/>
    <col min="28" max="28" width="10.90625" style="1572" customWidth="1"/>
    <col min="29" max="29" width="11" style="1572" bestFit="1" customWidth="1"/>
    <col min="30" max="30" width="10" style="1572" bestFit="1" customWidth="1"/>
    <col min="31" max="31" width="9.7265625" style="1572" customWidth="1"/>
    <col min="32" max="46" width="9.453125" style="1572" customWidth="1"/>
    <col min="47" max="47" width="18.08984375" style="1572" customWidth="1"/>
    <col min="48" max="50" width="9.7265625" style="1572" customWidth="1"/>
    <col min="51" max="55" width="10.453125" style="1572" bestFit="1" customWidth="1"/>
    <col min="56" max="56" width="9.453125" style="1572" bestFit="1" customWidth="1"/>
    <col min="57" max="63" width="9.08984375" style="1572" bestFit="1" customWidth="1"/>
    <col min="64" max="64" width="9.453125" style="1572" bestFit="1" customWidth="1"/>
    <col min="65" max="65" width="9.08984375" style="1572" bestFit="1" customWidth="1"/>
    <col min="66" max="66" width="9.453125" style="1572" bestFit="1" customWidth="1"/>
    <col min="67" max="69" width="9.08984375" style="1572" bestFit="1" customWidth="1"/>
    <col min="70" max="70" width="9.453125" style="1572" bestFit="1" customWidth="1"/>
    <col min="71" max="71" width="9" style="1572" customWidth="1"/>
    <col min="72" max="72" width="9.08984375" style="1572" bestFit="1" customWidth="1"/>
    <col min="73" max="16384" width="8.9062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6">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
      <c r="A3" s="10"/>
      <c r="B3" s="11">
        <f>IF(C3="否",G5-AT5,G5)</f>
        <v>148.12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
      <c r="A5" s="12" t="s">
        <v>1071</v>
      </c>
      <c r="B5" s="1346"/>
      <c r="C5" s="1346"/>
      <c r="D5" s="1348"/>
      <c r="E5" s="13" t="s">
        <v>0</v>
      </c>
      <c r="F5" s="13">
        <f>SUM(F13:F587)</f>
        <v>0</v>
      </c>
      <c r="G5" s="13">
        <f>SUM(G13:G587)</f>
        <v>148.12</v>
      </c>
      <c r="H5" s="13">
        <f t="shared" ref="H5:AT5" si="0">SUM(H13:H656)</f>
        <v>148.12</v>
      </c>
      <c r="I5" s="13">
        <f t="shared" si="0"/>
        <v>148.12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148.12</v>
      </c>
      <c r="BA5" s="15">
        <f t="shared" si="1"/>
        <v>148.12</v>
      </c>
      <c r="BB5" s="15">
        <f t="shared" si="1"/>
        <v>148.12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6">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6">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5">
      <c r="A13" s="1050"/>
      <c r="B13" s="1050"/>
      <c r="C13" s="1050"/>
      <c r="D13" s="1624" t="s">
        <v>3410</v>
      </c>
      <c r="E13" s="13">
        <f>IF($C$3="是",ROUND($A$3*G13/$B$3,2),ROUND($A$3*(G13-AT13)/$B$3,2))</f>
        <v>0</v>
      </c>
      <c r="F13" s="29"/>
      <c r="G13" s="30">
        <f>H13+AC13+AT13</f>
        <v>148.12</v>
      </c>
      <c r="H13" s="17">
        <f>SUMIF(I$12:AB$12,"总值",I13:AB13)</f>
        <v>148.12</v>
      </c>
      <c r="I13" s="1625">
        <v>148.12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148.12</v>
      </c>
      <c r="BA13" s="13">
        <f>SUM(BB13:BK13)</f>
        <v>148.12</v>
      </c>
      <c r="BB13" s="13">
        <f>IF($D13="是",I13-J13,0)</f>
        <v>148.12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6953125" defaultRowHeight="14"/>
  <cols>
    <col min="1" max="1" width="12.08984375" style="1637" customWidth="1"/>
    <col min="2" max="2" width="10.26953125" style="1637" customWidth="1"/>
    <col min="3" max="3" width="18.453125" style="1637" customWidth="1"/>
    <col min="4" max="4" width="11.6328125" style="1637" customWidth="1"/>
    <col min="5" max="5" width="13.36328125" style="1637" customWidth="1"/>
    <col min="6" max="8" width="11.453125" style="1637" customWidth="1"/>
    <col min="9" max="9" width="11.08984375" style="1637" customWidth="1"/>
    <col min="10" max="10" width="3.08984375" style="2647" customWidth="1"/>
    <col min="11" max="16" width="10" style="1637" customWidth="1"/>
    <col min="17" max="17" width="2.6328125" style="1637" customWidth="1"/>
    <col min="18" max="18" width="9.36328125" style="1637" bestFit="1" customWidth="1"/>
    <col min="19" max="19" width="10.453125" style="1637" bestFit="1" customWidth="1"/>
    <col min="20" max="16384" width="9.26953125" style="1637"/>
  </cols>
  <sheetData>
    <row r="1" spans="1:16" ht="18.5" thickBot="1">
      <c r="A1" s="1636" t="s">
        <v>1130</v>
      </c>
      <c r="B1" s="1138"/>
      <c r="C1" s="1138"/>
      <c r="D1" s="1138"/>
      <c r="E1" s="1138"/>
      <c r="F1" s="1138"/>
      <c r="G1" s="1138"/>
      <c r="H1" s="1138"/>
      <c r="I1" s="1138"/>
      <c r="J1" s="1138"/>
      <c r="K1" s="1138"/>
      <c r="L1" s="1138"/>
      <c r="M1" s="1138"/>
      <c r="N1" s="1138"/>
      <c r="O1" s="1138"/>
      <c r="P1" s="1138"/>
    </row>
    <row r="2" spans="1:16">
      <c r="A2" s="3564" t="s">
        <v>1131</v>
      </c>
      <c r="B2" s="3564"/>
      <c r="C2" s="3564"/>
      <c r="D2" s="795" t="s">
        <v>1107</v>
      </c>
      <c r="E2" s="1638" t="s">
        <v>1108</v>
      </c>
      <c r="F2" s="2657"/>
      <c r="G2" s="2648"/>
      <c r="H2" s="2649"/>
      <c r="I2" s="2324" t="s">
        <v>1132</v>
      </c>
      <c r="J2" s="2657"/>
      <c r="K2" s="2657"/>
      <c r="L2" s="2657"/>
      <c r="M2" s="2657"/>
      <c r="N2" s="2659"/>
      <c r="O2" s="2657"/>
      <c r="P2" s="2657"/>
    </row>
    <row r="3" spans="1:16" ht="14.5" thickBot="1">
      <c r="A3" s="3565" t="s">
        <v>1105</v>
      </c>
      <c r="B3" s="3565"/>
      <c r="C3" s="3565"/>
      <c r="D3" s="43">
        <f>'数据-基础表'!AY6</f>
        <v>0</v>
      </c>
      <c r="E3" s="43">
        <f>'数据-基础表'!AZ5</f>
        <v>148.12</v>
      </c>
      <c r="F3" s="2657"/>
      <c r="G3" s="1144"/>
      <c r="H3" s="1025" t="s">
        <v>1106</v>
      </c>
      <c r="I3" s="854" t="e">
        <f>ROUND('数据-基础表'!B3/'数据-基础表'!A3,2)</f>
        <v>#DIV/0!</v>
      </c>
      <c r="J3" s="2657"/>
      <c r="K3" s="2657"/>
      <c r="L3" s="2657"/>
      <c r="M3" s="2657"/>
      <c r="N3" s="2659"/>
      <c r="O3" s="2657"/>
      <c r="P3" s="2657"/>
    </row>
    <row r="4" spans="1:16">
      <c r="A4" s="3566"/>
      <c r="B4" s="3567"/>
      <c r="C4" s="3568"/>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4.5" thickBot="1">
      <c r="A6" s="1643"/>
      <c r="B6" s="3569" t="s">
        <v>1111</v>
      </c>
      <c r="C6" s="3569"/>
      <c r="D6" s="45">
        <f>ROUND($D$3*E6/$E$3,2)</f>
        <v>0</v>
      </c>
      <c r="E6" s="46">
        <f>E3-E5</f>
        <v>148.12</v>
      </c>
      <c r="F6" s="2657"/>
      <c r="G6" s="2651" t="s">
        <v>1112</v>
      </c>
      <c r="H6" s="1145" t="s">
        <v>1113</v>
      </c>
      <c r="I6" s="2652" t="e">
        <f>ROUND(F31/D31,2)</f>
        <v>#DIV/0!</v>
      </c>
      <c r="J6" s="2657"/>
      <c r="K6" s="2657"/>
      <c r="L6" s="2657"/>
      <c r="M6" s="2657"/>
      <c r="N6" s="2657"/>
      <c r="O6" s="2657"/>
      <c r="P6" s="2657"/>
    </row>
    <row r="7" spans="1:16" ht="14.5" thickBot="1">
      <c r="A7" s="3561"/>
      <c r="B7" s="3562"/>
      <c r="C7" s="3563"/>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148.12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4.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4.5" thickBot="1">
      <c r="A16" s="1643"/>
      <c r="B16" s="1646"/>
      <c r="C16" s="47" t="s">
        <v>1123</v>
      </c>
      <c r="D16" s="47">
        <f>SUM(D8:D15)</f>
        <v>0</v>
      </c>
      <c r="E16" s="50">
        <f>SUM(E8:E15)</f>
        <v>148.12</v>
      </c>
      <c r="F16" s="2657"/>
      <c r="G16" s="2658"/>
      <c r="H16" s="1647" t="s">
        <v>1135</v>
      </c>
      <c r="I16" s="1648"/>
      <c r="J16" s="1138"/>
      <c r="K16" s="3558" t="s">
        <v>1135</v>
      </c>
      <c r="L16" s="3559"/>
      <c r="M16" s="3559"/>
      <c r="N16" s="3559"/>
      <c r="O16" s="3559"/>
      <c r="P16" s="3560"/>
    </row>
    <row r="17" spans="1:19">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148.12</v>
      </c>
      <c r="F19" s="2792">
        <f>'数据-基础表'!B3</f>
        <v>148.12</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148.12</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4.5" thickBot="1">
      <c r="A27" s="1669"/>
      <c r="B27" s="45"/>
      <c r="C27" s="1672" t="s">
        <v>1154</v>
      </c>
      <c r="D27" s="1139">
        <f>SUM(D19:D26)</f>
        <v>0</v>
      </c>
      <c r="E27" s="1140">
        <f>IF(SUM(E19:E26)='数据-基础表'!BA5,SUM(E19:E26),IF(F27="地上面积有误","面积有误","地下面积有误"))</f>
        <v>148.12</v>
      </c>
      <c r="F27" s="1139">
        <f>IF(SUM(F19:F26)=E8,SUM(F19:F26),"地上面积有误")</f>
        <v>148.12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148.12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4.5" thickBot="1">
      <c r="A31" s="1675"/>
      <c r="B31" s="1676"/>
      <c r="C31" s="834" t="s">
        <v>1158</v>
      </c>
      <c r="D31" s="675">
        <f>D27+D30</f>
        <v>0</v>
      </c>
      <c r="E31" s="675">
        <f>E27+E30</f>
        <v>148.12</v>
      </c>
      <c r="F31" s="676">
        <f>F27+F30</f>
        <v>148.12</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N32" sqref="AN32"/>
    </sheetView>
  </sheetViews>
  <sheetFormatPr defaultColWidth="13.7265625" defaultRowHeight="12.5"/>
  <cols>
    <col min="1" max="1" width="20.90625" style="1744" customWidth="1"/>
    <col min="2" max="2" width="12" style="1681" customWidth="1"/>
    <col min="3" max="3" width="12.7265625" style="1681" customWidth="1"/>
    <col min="4" max="4" width="9.08984375" style="1745" customWidth="1"/>
    <col min="5" max="5" width="15" style="1681" bestFit="1" customWidth="1"/>
    <col min="6" max="10" width="8.90625" style="1681" customWidth="1"/>
    <col min="11" max="12" width="12.36328125" style="1600" customWidth="1"/>
    <col min="13" max="13" width="8.6328125" style="1681" customWidth="1"/>
    <col min="14" max="14" width="11.90625" style="1681" customWidth="1"/>
    <col min="15" max="15" width="8.453125" style="1681" customWidth="1"/>
    <col min="16" max="17" width="10.90625" style="1681" customWidth="1"/>
    <col min="18" max="19" width="12.453125" style="1681" customWidth="1"/>
    <col min="20" max="20" width="12.08984375" style="1681" customWidth="1"/>
    <col min="21" max="21" width="7.453125" style="1681" customWidth="1"/>
    <col min="22" max="22" width="6.36328125" style="1681" customWidth="1"/>
    <col min="23" max="30" width="6.7265625" style="1681" customWidth="1"/>
    <col min="31" max="31" width="8" style="1681" customWidth="1"/>
    <col min="32" max="34" width="7.26953125" style="1681" customWidth="1"/>
    <col min="35" max="39" width="8" style="1681" customWidth="1"/>
    <col min="40" max="40" width="13.7265625" style="1680"/>
    <col min="41" max="41" width="11.6328125" style="1680" customWidth="1"/>
    <col min="42" max="42" width="9.7265625" style="1680" customWidth="1"/>
    <col min="43" max="67" width="13.7265625" style="1680"/>
    <col min="68" max="16384" width="13.7265625" style="1681"/>
  </cols>
  <sheetData>
    <row r="1" spans="1:67" ht="18"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 thickBot="1">
      <c r="A2" s="1682" t="s">
        <v>1161</v>
      </c>
      <c r="B2" s="1044">
        <f>项目基本情况!D3</f>
        <v>45716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4.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3">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
      <c r="A6" s="1711" t="str">
        <f>'数据-汇总表'!C19</f>
        <v>办公</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38.130000000000003</v>
      </c>
      <c r="G6" s="65">
        <f>IF(ISERROR(ROUND(POWER(1+H6,D6-F6)*(POWER(1+H6,F6)-1)/(POWER(1+H6,D6)-1),3)),0,ROUND(POWER(1+H6,D6-F6)*(POWER(1+H6,F6)-1)/(POWER(1+H6,D6)-1),3))</f>
        <v>0.92500000000000004</v>
      </c>
      <c r="H6" s="731">
        <v>0.05</v>
      </c>
      <c r="I6" s="731">
        <v>5.5E-2</v>
      </c>
      <c r="J6" s="66">
        <v>7.0000000000000007E-2</v>
      </c>
      <c r="K6" s="1029">
        <f>SUMIF('数据-汇总表'!C$19:C$33,A6,'数据-汇总表'!E$19:E$33)</f>
        <v>148.12</v>
      </c>
      <c r="L6" s="3824">
        <v>3800</v>
      </c>
      <c r="M6" s="67">
        <f t="shared" ref="M6:M14" si="0">ROUND(K6*L6/10000,0)</f>
        <v>56</v>
      </c>
      <c r="N6" s="730">
        <f>N19</f>
        <v>0.83</v>
      </c>
      <c r="O6" s="67" t="str">
        <f>IF($N$5="成新度","——",ROUND(M6*N6,0))</f>
        <v>——</v>
      </c>
      <c r="P6" s="68" t="str">
        <f>IF($N$5="成新度","——",M6-O6)</f>
        <v>——</v>
      </c>
      <c r="Q6" s="3825">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2.8</v>
      </c>
      <c r="V6" s="70">
        <v>0.02</v>
      </c>
      <c r="W6" s="70">
        <v>0.1</v>
      </c>
      <c r="X6" s="1039"/>
      <c r="Y6" s="71">
        <f>N6</f>
        <v>0.83</v>
      </c>
      <c r="Z6" s="72"/>
      <c r="AA6" s="66"/>
      <c r="AB6" s="66"/>
      <c r="AC6" s="1039"/>
      <c r="AD6" s="73"/>
      <c r="AE6" s="1040">
        <f ca="1">IF(AN6="",0,SUMIF(INDIRECT("'"&amp;AN6&amp;"'"&amp;"!E:E"),$AE$5,INDIRECT("'"&amp;AN6&amp;"'"&amp;"!F:F")))</f>
        <v>38.130000000000003</v>
      </c>
      <c r="AF6" s="1347"/>
      <c r="AG6" s="138">
        <f>IF(AF6="",0,AE6-AF6)</f>
        <v>0</v>
      </c>
      <c r="AH6" s="74"/>
      <c r="AI6" s="76">
        <v>365</v>
      </c>
      <c r="AJ6" s="77"/>
      <c r="AK6" s="78">
        <v>2E-3</v>
      </c>
      <c r="AL6" s="79">
        <v>1E-3</v>
      </c>
      <c r="AM6" s="80">
        <v>5.0000000000000001E-3</v>
      </c>
      <c r="AN6" s="1714" t="s">
        <v>3413</v>
      </c>
      <c r="AO6" s="52">
        <f ca="1">SUMIF(INDIRECT("'"&amp;AN6&amp;"'"&amp;"!A:A"),"总价",INDIRECT("'"&amp;AN6&amp;"'"&amp;"!B:B"))</f>
        <v>230.98259999999999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4.5" thickBot="1">
      <c r="A16" s="1718" t="s">
        <v>1209</v>
      </c>
      <c r="B16" s="88"/>
      <c r="C16" s="832"/>
      <c r="D16" s="1719"/>
      <c r="E16" s="88"/>
      <c r="F16" s="88"/>
      <c r="G16" s="89">
        <f>ROUND(SUMPRODUCT(G6:G13,K6:K13)/SUMPRODUCT((G6:G13&gt;0)*(K6:K13)),3)</f>
        <v>0.92500000000000004</v>
      </c>
      <c r="H16" s="90">
        <f>ROUND(SUMPRODUCT(H6:H13,K6:K13)/SUMPRODUCT((H6:H13&gt;0)*(K6:K13)),3)</f>
        <v>0.05</v>
      </c>
      <c r="I16" s="91"/>
      <c r="J16" s="91"/>
      <c r="K16" s="92">
        <f>SUM(K6:K15)</f>
        <v>148.12</v>
      </c>
      <c r="L16" s="93">
        <f>ROUND(M16*10000/SUM(K6:K14),0)</f>
        <v>3781</v>
      </c>
      <c r="M16" s="93">
        <f>SUM(M6:M14)</f>
        <v>56</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4.5" thickBot="1">
      <c r="A18" s="60" t="s">
        <v>1210</v>
      </c>
      <c r="B18" s="2682"/>
      <c r="C18" s="2670"/>
      <c r="D18" s="2673"/>
      <c r="E18" s="2670"/>
      <c r="F18" s="2670"/>
      <c r="G18" s="2670"/>
      <c r="H18" s="2670"/>
      <c r="I18" s="2670"/>
      <c r="J18" s="2670"/>
      <c r="K18" s="2669"/>
      <c r="L18" s="2669">
        <v>4000</v>
      </c>
      <c r="M18" s="3455" t="s">
        <v>3485</v>
      </c>
      <c r="N18" s="793">
        <v>2015</v>
      </c>
      <c r="O18" s="2668"/>
      <c r="P18" s="2668"/>
      <c r="Q18" s="2668">
        <f>Q16/B20</f>
        <v>7.4999999999999997E-2</v>
      </c>
      <c r="R18" s="2668"/>
      <c r="S18" s="2668"/>
      <c r="T18" s="2668"/>
      <c r="U18" s="2668">
        <v>5.8</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
      <c r="A19" s="1721" t="s">
        <v>1211</v>
      </c>
      <c r="B19" s="103">
        <v>0</v>
      </c>
      <c r="C19" s="2796" t="s">
        <v>2301</v>
      </c>
      <c r="D19" s="2673"/>
      <c r="E19" s="2670"/>
      <c r="F19" s="2670"/>
      <c r="G19" s="2670"/>
      <c r="H19" s="2670"/>
      <c r="I19" s="2670"/>
      <c r="J19" s="2670"/>
      <c r="K19" s="2669"/>
      <c r="L19" s="2669"/>
      <c r="M19" s="3456" t="s">
        <v>3412</v>
      </c>
      <c r="N19" s="3457">
        <f>ROUND(1-(1-0%)*(2025-N18)/60,2)</f>
        <v>0.83</v>
      </c>
      <c r="O19" s="2668"/>
      <c r="P19" s="2668"/>
      <c r="Q19" s="2668"/>
      <c r="R19" s="2668"/>
      <c r="S19" s="2668"/>
      <c r="T19" s="2668"/>
      <c r="U19" s="3455" t="s">
        <v>3501</v>
      </c>
      <c r="V19" s="2668">
        <v>23000</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4.4434782608695648E-2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
      <c r="A21" s="1723" t="s">
        <v>1213</v>
      </c>
      <c r="B21" s="104">
        <v>2</v>
      </c>
      <c r="C21" s="2670"/>
      <c r="D21" s="2673"/>
      <c r="E21" s="2670"/>
      <c r="F21" s="2670"/>
      <c r="G21" s="2670"/>
      <c r="H21" s="2670"/>
      <c r="I21" s="2670"/>
      <c r="J21" s="2670"/>
      <c r="K21" s="2669"/>
      <c r="L21" s="2669"/>
      <c r="M21" s="3456" t="s">
        <v>3517</v>
      </c>
      <c r="N21" s="3457">
        <f>ROUND((N19+N20)/2,2)</f>
        <v>0.42</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4.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4.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4.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8.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8.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4.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
      <c r="A37" s="1730" t="s">
        <v>1230</v>
      </c>
      <c r="B37" s="115">
        <v>0.02</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
      <c r="A43" s="1732" t="s">
        <v>1235</v>
      </c>
      <c r="B43" s="118">
        <f>B42*(B44+B45+B46)+B47</f>
        <v>5.000000000000001E-3</v>
      </c>
      <c r="C43" s="2675"/>
      <c r="D43" s="2673"/>
      <c r="E43" s="3460" t="s">
        <v>3526</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
      <c r="A44" s="1733" t="s">
        <v>1236</v>
      </c>
      <c r="B44" s="119">
        <v>0.05</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4.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4.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4.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5" customWidth="1"/>
    <col min="2" max="2" width="24.453125" style="1571" customWidth="1"/>
    <col min="3" max="3" width="24.453125" style="2508" customWidth="1"/>
    <col min="4" max="4" width="2.6328125" style="2508" customWidth="1"/>
    <col min="5" max="5" width="5.90625" style="2508" customWidth="1"/>
    <col min="6" max="6" width="27" style="1571" customWidth="1"/>
    <col min="7" max="7" width="27" style="2509" customWidth="1"/>
    <col min="8" max="8" width="11.90625" style="2489" customWidth="1"/>
    <col min="9" max="9" width="16.7265625" style="2490" customWidth="1"/>
    <col min="10" max="10" width="2.6328125" style="2489" customWidth="1"/>
    <col min="11" max="11" width="11.90625" style="2489" customWidth="1"/>
    <col min="12" max="12" width="16.7265625" style="2490" customWidth="1"/>
    <col min="13" max="13" width="2.6328125" style="2489" customWidth="1"/>
    <col min="14" max="14" width="11.90625" style="2489" customWidth="1"/>
    <col min="15" max="15" width="16.7265625" style="2490" customWidth="1"/>
    <col min="16" max="16" width="2.6328125" style="2489" customWidth="1"/>
    <col min="17" max="17" width="11.90625" style="2489" customWidth="1"/>
    <col min="18" max="18" width="16.7265625" style="2491" customWidth="1"/>
    <col min="19" max="29" width="9" style="798"/>
    <col min="30" max="16384" width="9" style="1685"/>
  </cols>
  <sheetData>
    <row r="1" spans="1:29" s="2455" customFormat="1" ht="18.5" thickBot="1">
      <c r="A1" s="3570" t="s">
        <v>2285</v>
      </c>
      <c r="B1" s="3571"/>
      <c r="C1" s="3571"/>
      <c r="D1" s="3571"/>
      <c r="E1" s="3571"/>
      <c r="F1" s="3571"/>
      <c r="G1" s="357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5" thickBot="1">
      <c r="A2" s="2456"/>
      <c r="B2" s="2457"/>
      <c r="C2" s="2458" t="s">
        <v>2280</v>
      </c>
      <c r="D2" s="2459"/>
      <c r="E2" s="2456"/>
      <c r="F2" s="2460"/>
      <c r="G2" s="2458" t="s">
        <v>2281</v>
      </c>
      <c r="H2" s="798"/>
      <c r="I2" s="798"/>
      <c r="J2" s="798"/>
      <c r="K2" s="798"/>
      <c r="L2" s="798"/>
      <c r="M2" s="798"/>
      <c r="N2" s="798"/>
      <c r="O2" s="798"/>
      <c r="P2" s="798"/>
      <c r="Q2" s="798"/>
      <c r="R2" s="798"/>
    </row>
    <row r="3" spans="1:29" ht="52">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9">
      <c r="A4" s="2440"/>
      <c r="B4" s="323" t="s">
        <v>2253</v>
      </c>
      <c r="C4" s="2466" t="s">
        <v>2254</v>
      </c>
      <c r="D4" s="2463"/>
      <c r="E4" s="2467"/>
      <c r="F4" s="1372" t="s">
        <v>2255</v>
      </c>
      <c r="G4" s="2468" t="s">
        <v>2256</v>
      </c>
      <c r="H4" s="798"/>
      <c r="I4" s="798"/>
      <c r="J4" s="798"/>
      <c r="K4" s="798"/>
      <c r="L4" s="798"/>
      <c r="M4" s="798"/>
      <c r="N4" s="798"/>
      <c r="O4" s="798"/>
      <c r="P4" s="798"/>
      <c r="Q4" s="798"/>
      <c r="R4" s="798"/>
    </row>
    <row r="5" spans="1:29" ht="39">
      <c r="A5" s="2440"/>
      <c r="B5" s="323" t="s">
        <v>2257</v>
      </c>
      <c r="C5" s="2466" t="s">
        <v>2258</v>
      </c>
      <c r="D5" s="2463"/>
      <c r="E5" s="2467"/>
      <c r="F5" s="323" t="s">
        <v>2259</v>
      </c>
      <c r="G5" s="2468" t="s">
        <v>2260</v>
      </c>
      <c r="H5" s="798"/>
      <c r="I5" s="798"/>
      <c r="J5" s="798"/>
      <c r="K5" s="798"/>
      <c r="L5" s="798"/>
      <c r="M5" s="798"/>
      <c r="N5" s="798"/>
      <c r="O5" s="798"/>
      <c r="P5" s="798"/>
      <c r="Q5" s="798"/>
      <c r="R5" s="798"/>
    </row>
    <row r="6" spans="1:29" ht="39">
      <c r="A6" s="2440"/>
      <c r="B6" s="323" t="s">
        <v>2261</v>
      </c>
      <c r="C6" s="2468" t="s">
        <v>2256</v>
      </c>
      <c r="D6" s="2463"/>
      <c r="E6" s="2467"/>
      <c r="F6" s="323" t="s">
        <v>2262</v>
      </c>
      <c r="G6" s="2468" t="s">
        <v>2263</v>
      </c>
      <c r="H6" s="798"/>
      <c r="I6" s="798"/>
      <c r="J6" s="798"/>
      <c r="K6" s="798"/>
      <c r="L6" s="798"/>
      <c r="M6" s="798"/>
      <c r="N6" s="798"/>
      <c r="O6" s="798"/>
      <c r="P6" s="798"/>
      <c r="Q6" s="798"/>
      <c r="R6" s="798"/>
    </row>
    <row r="7" spans="1:29" ht="39.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ht="26">
      <c r="A8" s="2440"/>
      <c r="B8" s="323" t="s">
        <v>2262</v>
      </c>
      <c r="C8" s="2468" t="s">
        <v>2263</v>
      </c>
      <c r="D8" s="2469"/>
      <c r="E8" s="2469"/>
      <c r="F8" s="2473"/>
      <c r="G8" s="2473"/>
      <c r="H8" s="798"/>
      <c r="I8" s="798"/>
      <c r="J8" s="798"/>
      <c r="K8" s="798"/>
      <c r="L8" s="798"/>
      <c r="M8" s="798"/>
      <c r="N8" s="798"/>
      <c r="O8" s="798"/>
      <c r="P8" s="798"/>
      <c r="Q8" s="798"/>
      <c r="R8" s="798"/>
    </row>
    <row r="9" spans="1:29" ht="26">
      <c r="A9" s="2440"/>
      <c r="B9" s="323" t="s">
        <v>2266</v>
      </c>
      <c r="C9" s="2466" t="s">
        <v>2267</v>
      </c>
      <c r="D9" s="2463"/>
      <c r="E9" s="2469"/>
      <c r="F9" s="2473"/>
      <c r="G9" s="2473"/>
      <c r="H9" s="798"/>
      <c r="I9" s="798"/>
      <c r="J9" s="798"/>
      <c r="K9" s="798"/>
      <c r="L9" s="798"/>
      <c r="M9" s="798"/>
      <c r="N9" s="798"/>
      <c r="O9" s="798"/>
      <c r="P9" s="798"/>
      <c r="Q9" s="798"/>
      <c r="R9" s="798"/>
    </row>
    <row r="10" spans="1:29" s="2479" customFormat="1" ht="14.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4.5" thickBot="1">
      <c r="A13" s="2488" t="s">
        <v>2286</v>
      </c>
      <c r="B13" s="2482"/>
      <c r="C13" s="2482"/>
      <c r="D13" s="2480"/>
      <c r="E13" s="2482"/>
      <c r="F13" s="2482"/>
      <c r="G13" s="2482"/>
    </row>
    <row r="14" spans="1:29" ht="14.5" thickBot="1">
      <c r="A14" s="2492"/>
      <c r="B14" s="2492"/>
      <c r="C14" s="2493" t="s">
        <v>2269</v>
      </c>
      <c r="D14" s="2463"/>
      <c r="E14" s="2494"/>
      <c r="F14" s="2494"/>
      <c r="G14" s="2458" t="s">
        <v>2270</v>
      </c>
    </row>
    <row r="15" spans="1:29" ht="50">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7.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7.5">
      <c r="A17" s="2444"/>
      <c r="B17" s="2498" t="s">
        <v>2257</v>
      </c>
      <c r="C17" s="2499" t="str">
        <f>C5</f>
        <v>估价对象位于XX商圈，周边办公楼项目较多，入驻率高，办公集聚程度较好</v>
      </c>
      <c r="D17" s="2469"/>
      <c r="E17" s="2445"/>
      <c r="F17" s="2500" t="s">
        <v>2274</v>
      </c>
      <c r="G17" s="2502"/>
    </row>
    <row r="18" spans="1:18" ht="37.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
      <c r="A19" s="2444"/>
      <c r="B19" s="2500" t="s">
        <v>2275</v>
      </c>
      <c r="C19" s="2502"/>
      <c r="D19" s="2463"/>
      <c r="E19" s="2445"/>
      <c r="F19" s="323" t="s">
        <v>2259</v>
      </c>
      <c r="G19" s="2501" t="str">
        <f>G5</f>
        <v>估价对象所在区域公共配套设施齐备情况</v>
      </c>
    </row>
    <row r="20" spans="1:18" ht="25">
      <c r="A20" s="2444"/>
      <c r="B20" s="2500" t="s">
        <v>2276</v>
      </c>
      <c r="C20" s="2499" t="str">
        <f>C9</f>
        <v>区域自然环境：；人文环境；综合评价环境状况一般</v>
      </c>
      <c r="D20" s="2469"/>
      <c r="E20" s="2445"/>
      <c r="F20" s="323" t="s">
        <v>2262</v>
      </c>
      <c r="G20" s="2501" t="str">
        <f>G6</f>
        <v>估价对象所在区域基础设施水平</v>
      </c>
    </row>
    <row r="21" spans="1:18" ht="2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4.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4.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I9" sqref="I9"/>
    </sheetView>
  </sheetViews>
  <sheetFormatPr defaultColWidth="9" defaultRowHeight="14"/>
  <cols>
    <col min="1" max="1" width="25" style="2511" customWidth="1"/>
    <col min="2" max="9" width="15.7265625" style="2511" customWidth="1"/>
    <col min="10" max="16384" width="9" style="2511"/>
  </cols>
  <sheetData>
    <row r="1" spans="1:11" ht="16.5">
      <c r="A1" s="2510" t="s">
        <v>665</v>
      </c>
      <c r="B1" s="2510">
        <f>SUM(B14:B23)</f>
        <v>148.12</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45716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326</v>
      </c>
      <c r="C5" s="2510">
        <f ca="1">IF(B5=D14,结果表!H102,ROUND(B5*10000/$B$1,0))</f>
        <v>22005</v>
      </c>
      <c r="D5" s="2510" t="e">
        <f ca="1">ROUND(B5*10000/$B$2,0)</f>
        <v>#DIV/0!</v>
      </c>
      <c r="E5" s="2683"/>
      <c r="F5" s="2684"/>
      <c r="G5" s="2684"/>
      <c r="H5" s="2685"/>
      <c r="I5" s="2685"/>
      <c r="J5" s="2685"/>
      <c r="K5" s="2685"/>
    </row>
    <row r="6" spans="1:11" ht="16.5">
      <c r="A6" s="2510" t="s">
        <v>656</v>
      </c>
      <c r="B6" s="2510">
        <f ca="1">SUM(G14:G23)</f>
        <v>326</v>
      </c>
      <c r="C6" s="2510">
        <f ca="1">IF(B6=G14,结果表!H108,ROUND(B6*10000/$B$1,0))</f>
        <v>22005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148.12</v>
      </c>
      <c r="C14" s="2516"/>
      <c r="D14" s="2516">
        <f ca="1">结果表!G19</f>
        <v>326</v>
      </c>
      <c r="E14" s="2516">
        <f ca="1">结果表!G20</f>
        <v>22005</v>
      </c>
      <c r="F14" s="2516" t="e">
        <f ca="1">ROUND(D14*10000/C14,0)</f>
        <v>#DIV/0!</v>
      </c>
      <c r="G14" s="2516">
        <f ca="1">D14</f>
        <v>326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328125" defaultRowHeight="21.75" customHeight="1"/>
  <cols>
    <col min="1" max="2" width="12.6328125" style="1752"/>
    <col min="3" max="4" width="12.6328125" style="1752" customWidth="1"/>
    <col min="5" max="9" width="12.6328125" style="1752"/>
    <col min="10" max="11" width="12.6328125" style="724" customWidth="1"/>
    <col min="12" max="12" width="12.6328125" style="724"/>
    <col min="13" max="13" width="14.08984375" style="724" bestFit="1" customWidth="1"/>
    <col min="14" max="26" width="12.6328125" style="724"/>
    <col min="27" max="35" width="12.6328125" style="1751"/>
    <col min="36" max="16384" width="12.63281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06" t="str">
        <f>项目基本情况!S2</f>
        <v>北京市昌平区英才北三街16号院4号楼3层304办公用房房地产</v>
      </c>
      <c r="B2" s="3607"/>
      <c r="C2" s="3607"/>
      <c r="D2" s="3607"/>
      <c r="E2" s="3607"/>
      <c r="F2" s="3607"/>
      <c r="G2" s="3607"/>
      <c r="H2" s="3607"/>
      <c r="I2" s="3608"/>
    </row>
    <row r="3" spans="1:12" ht="13">
      <c r="A3" s="3610" t="s">
        <v>1264</v>
      </c>
      <c r="B3" s="3611"/>
      <c r="C3" s="3611"/>
      <c r="D3" s="3611"/>
      <c r="E3" s="3611"/>
      <c r="F3" s="3611"/>
      <c r="G3" s="3611"/>
      <c r="H3" s="3611"/>
      <c r="I3" s="3611"/>
    </row>
    <row r="4" spans="1:12" ht="14">
      <c r="A4" s="1753" t="s">
        <v>1265</v>
      </c>
      <c r="B4" s="1754" t="s">
        <v>1266</v>
      </c>
      <c r="C4" s="1755" t="s">
        <v>3500</v>
      </c>
      <c r="D4" s="1755" t="s">
        <v>3413</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
      <c r="A5" s="3586" t="s">
        <v>1268</v>
      </c>
      <c r="B5" s="3573">
        <v>25</v>
      </c>
      <c r="C5" s="3589"/>
      <c r="D5" s="3609"/>
      <c r="E5" s="131" t="s">
        <v>1269</v>
      </c>
      <c r="F5" s="1756"/>
      <c r="G5" s="1756"/>
      <c r="H5" s="1756"/>
      <c r="I5" s="1372"/>
    </row>
    <row r="6" spans="1:12" ht="13">
      <c r="A6" s="3586"/>
      <c r="B6" s="3573"/>
      <c r="C6" s="3590"/>
      <c r="D6" s="3609"/>
      <c r="E6" s="131" t="s">
        <v>1270</v>
      </c>
      <c r="F6" s="1756"/>
      <c r="G6" s="1756"/>
      <c r="H6" s="1756"/>
      <c r="I6" s="1372"/>
    </row>
    <row r="7" spans="1:12" ht="13">
      <c r="A7" s="3586"/>
      <c r="B7" s="3573"/>
      <c r="C7" s="3591"/>
      <c r="D7" s="3609"/>
      <c r="E7" s="131" t="s">
        <v>1271</v>
      </c>
      <c r="F7" s="1756"/>
      <c r="G7" s="1756"/>
      <c r="H7" s="1756"/>
      <c r="I7" s="1372"/>
    </row>
    <row r="8" spans="1:12" ht="13">
      <c r="A8" s="3586" t="s">
        <v>1272</v>
      </c>
      <c r="B8" s="3573">
        <v>15</v>
      </c>
      <c r="C8" s="3589"/>
      <c r="D8" s="3609"/>
      <c r="E8" s="131" t="s">
        <v>1273</v>
      </c>
      <c r="F8" s="1756"/>
      <c r="G8" s="1756"/>
      <c r="H8" s="1756"/>
      <c r="I8" s="1372"/>
    </row>
    <row r="9" spans="1:12" ht="13">
      <c r="A9" s="3586"/>
      <c r="B9" s="3573"/>
      <c r="C9" s="3591"/>
      <c r="D9" s="3609"/>
      <c r="E9" s="131" t="s">
        <v>1274</v>
      </c>
      <c r="F9" s="1756"/>
      <c r="G9" s="1756"/>
      <c r="H9" s="1756"/>
      <c r="I9" s="1372"/>
    </row>
    <row r="10" spans="1:12" ht="13">
      <c r="A10" s="3586" t="s">
        <v>1275</v>
      </c>
      <c r="B10" s="3573">
        <v>15</v>
      </c>
      <c r="C10" s="3589"/>
      <c r="D10" s="3609"/>
      <c r="E10" s="131" t="s">
        <v>1276</v>
      </c>
      <c r="F10" s="1756"/>
      <c r="G10" s="1756"/>
      <c r="H10" s="1756"/>
      <c r="I10" s="1372"/>
    </row>
    <row r="11" spans="1:12" ht="13">
      <c r="A11" s="3586"/>
      <c r="B11" s="3573"/>
      <c r="C11" s="3591"/>
      <c r="D11" s="3609"/>
      <c r="E11" s="131" t="s">
        <v>1277</v>
      </c>
      <c r="F11" s="1756"/>
      <c r="G11" s="1756"/>
      <c r="H11" s="1756"/>
      <c r="I11" s="1372"/>
    </row>
    <row r="12" spans="1:12" ht="13">
      <c r="A12" s="3586" t="s">
        <v>1278</v>
      </c>
      <c r="B12" s="3573">
        <v>15</v>
      </c>
      <c r="C12" s="3589"/>
      <c r="D12" s="3609"/>
      <c r="E12" s="131" t="s">
        <v>1279</v>
      </c>
      <c r="F12" s="1756"/>
      <c r="G12" s="1756"/>
      <c r="H12" s="1756"/>
      <c r="I12" s="1372"/>
    </row>
    <row r="13" spans="1:12" ht="13">
      <c r="A13" s="3586"/>
      <c r="B13" s="3573"/>
      <c r="C13" s="3591"/>
      <c r="D13" s="3609"/>
      <c r="E13" s="131" t="s">
        <v>1280</v>
      </c>
      <c r="F13" s="1756"/>
      <c r="G13" s="1756"/>
      <c r="H13" s="1756"/>
      <c r="I13" s="1372"/>
    </row>
    <row r="14" spans="1:12" ht="13">
      <c r="A14" s="3586" t="s">
        <v>1281</v>
      </c>
      <c r="B14" s="3573">
        <v>30</v>
      </c>
      <c r="C14" s="3589">
        <v>6</v>
      </c>
      <c r="D14" s="3609">
        <v>4</v>
      </c>
      <c r="E14" s="131" t="s">
        <v>1282</v>
      </c>
      <c r="F14" s="1756"/>
      <c r="G14" s="1756"/>
      <c r="H14" s="1756"/>
      <c r="I14" s="1372"/>
    </row>
    <row r="15" spans="1:12" ht="13">
      <c r="A15" s="3586"/>
      <c r="B15" s="3573"/>
      <c r="C15" s="3590"/>
      <c r="D15" s="3609"/>
      <c r="E15" s="131" t="s">
        <v>1283</v>
      </c>
      <c r="F15" s="1756"/>
      <c r="G15" s="1756"/>
      <c r="H15" s="1756"/>
      <c r="I15" s="1372"/>
    </row>
    <row r="16" spans="1:12" ht="13">
      <c r="A16" s="3586"/>
      <c r="B16" s="3573"/>
      <c r="C16" s="3591"/>
      <c r="D16" s="3609"/>
      <c r="E16" s="131" t="s">
        <v>1284</v>
      </c>
      <c r="F16" s="1756"/>
      <c r="G16" s="1756"/>
      <c r="H16" s="1756"/>
      <c r="I16" s="1372"/>
    </row>
    <row r="17" spans="1:36" ht="14">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6" t="s">
        <v>2130</v>
      </c>
      <c r="F18" s="3597"/>
      <c r="G18" s="3597"/>
      <c r="H18" s="3597"/>
      <c r="I18" s="3597"/>
      <c r="K18" s="302" t="s">
        <v>1289</v>
      </c>
      <c r="L18" s="302">
        <f>IF(C1="",'数据-汇总表'!E3,SUMIF(项目类型,C1,'数据-汇总表'!E17:E26)+SUMIF(项目类型,C1,'数据-汇总表'!I17:I26))</f>
        <v>148.12</v>
      </c>
      <c r="M18" s="302">
        <f>IF(C1="",'数据-汇总表'!E3,SUMIF(项目类型,C1,'数据-汇总表'!E17:E26))</f>
        <v>148.12</v>
      </c>
    </row>
    <row r="19" spans="1:36" ht="14">
      <c r="A19" s="1760" t="s">
        <v>1290</v>
      </c>
      <c r="B19" s="1761" t="s">
        <v>1291</v>
      </c>
      <c r="C19" s="134">
        <f ca="1">SUMIF(INDIRECT("'"&amp;C4&amp;"'"&amp;"!A:A"),结果表!B19,INDIRECT("'"&amp;C4&amp;"'"&amp;"!B:B"))</f>
        <v>389.24450000000002</v>
      </c>
      <c r="D19" s="135">
        <f ca="1">SUMIF(INDIRECT("'"&amp;D4&amp;"'"&amp;"!A:A"),结果表!B19,INDIRECT("'"&amp;D4&amp;"'"&amp;"!B:B"))</f>
        <v>230.98259999999999</v>
      </c>
      <c r="E19" s="1760" t="s">
        <v>1292</v>
      </c>
      <c r="F19" s="1761" t="s">
        <v>1291</v>
      </c>
      <c r="G19" s="136">
        <f ca="1">ROUND(C19*$C$18+D19*$D$18,0)</f>
        <v>326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
      <c r="A20" s="1763"/>
      <c r="B20" s="1025" t="s">
        <v>1295</v>
      </c>
      <c r="C20" s="137">
        <f ca="1">SUMIF(INDIRECT("'"&amp;C4&amp;"'"&amp;"!A:A"),结果表!B20,INDIRECT("'"&amp;C4&amp;"'"&amp;"!B:B"))</f>
        <v>26279</v>
      </c>
      <c r="D20" s="138">
        <f ca="1">SUMIF(INDIRECT("'"&amp;D4&amp;"'"&amp;"!A:A"),结果表!B20,INDIRECT("'"&amp;D4&amp;"'"&amp;"!B:B"))</f>
        <v>15594</v>
      </c>
      <c r="E20" s="1763"/>
      <c r="F20" s="1025" t="s">
        <v>1295</v>
      </c>
      <c r="G20" s="139">
        <f ca="1">ROUND(C20*$C$18+D20*$D$18,0)</f>
        <v>22005</v>
      </c>
      <c r="H20" s="807" t="s">
        <v>1296</v>
      </c>
      <c r="I20" s="129"/>
      <c r="J20" s="724">
        <v>22000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4.5" thickBot="1">
      <c r="A22" s="1687" t="s">
        <v>1298</v>
      </c>
      <c r="B22" s="1766"/>
      <c r="C22" s="1767"/>
      <c r="D22" s="720">
        <f ca="1">IF(C19&lt;D19,D19/C19-1,C19/D19-1)</f>
        <v>0.68516806027813359</v>
      </c>
      <c r="E22" s="129"/>
      <c r="F22" s="129"/>
      <c r="G22" s="129"/>
      <c r="H22" s="129"/>
      <c r="I22" s="129"/>
    </row>
    <row r="23" spans="1:36" ht="13" thickBot="1">
      <c r="A23" s="1746"/>
      <c r="B23" s="1746"/>
      <c r="C23" s="1746"/>
      <c r="D23" s="1746"/>
      <c r="E23" s="129"/>
      <c r="F23" s="129"/>
      <c r="G23" s="129"/>
      <c r="H23" s="129"/>
      <c r="I23" s="129"/>
    </row>
    <row r="24" spans="1:36" ht="14">
      <c r="A24" s="3580" t="s">
        <v>1299</v>
      </c>
      <c r="B24" s="1761" t="s">
        <v>1291</v>
      </c>
      <c r="C24" s="136">
        <f>IF(B30=0,0,D30)</f>
        <v>0</v>
      </c>
      <c r="D24" s="1768"/>
      <c r="E24" s="129"/>
      <c r="F24" s="129"/>
      <c r="G24" s="129"/>
      <c r="H24" s="129"/>
      <c r="I24" s="129"/>
    </row>
    <row r="25" spans="1:36" ht="14">
      <c r="A25" s="358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
      <c r="A27" s="1770"/>
      <c r="B27" s="142">
        <v>0</v>
      </c>
      <c r="C27" s="142">
        <v>0</v>
      </c>
      <c r="D27" s="143">
        <f>ROUND(C27*B27/10000,0)</f>
        <v>0</v>
      </c>
      <c r="E27" s="129"/>
      <c r="F27" s="129"/>
      <c r="G27" s="129"/>
      <c r="H27" s="129"/>
      <c r="I27" s="129"/>
    </row>
    <row r="28" spans="1:36" ht="14">
      <c r="A28" s="1770"/>
      <c r="B28" s="142"/>
      <c r="C28" s="142"/>
      <c r="D28" s="143"/>
      <c r="E28" s="129"/>
      <c r="F28" s="129"/>
      <c r="G28" s="129"/>
      <c r="H28" s="129"/>
      <c r="I28" s="129"/>
    </row>
    <row r="29" spans="1:36" ht="14">
      <c r="A29" s="1770"/>
      <c r="B29" s="142"/>
      <c r="C29" s="142"/>
      <c r="D29" s="143"/>
      <c r="E29" s="129"/>
      <c r="F29" s="129"/>
      <c r="G29" s="129"/>
      <c r="H29" s="129"/>
      <c r="I29" s="129"/>
    </row>
    <row r="30" spans="1:36" ht="14.5" thickBot="1">
      <c r="A30" s="142" t="s">
        <v>1304</v>
      </c>
      <c r="B30" s="142"/>
      <c r="C30" s="142"/>
      <c r="D30" s="142"/>
      <c r="E30" s="2302" t="s">
        <v>2131</v>
      </c>
      <c r="F30" s="129"/>
      <c r="G30" s="129"/>
      <c r="H30" s="129"/>
      <c r="I30" s="129"/>
    </row>
    <row r="31" spans="1:36" s="2308" customFormat="1" ht="26.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72" t="s">
        <v>1305</v>
      </c>
      <c r="B32" s="1773"/>
      <c r="C32" s="144">
        <f ca="1">IF(D32="总价",G19-C24,G20-C25)</f>
        <v>22005</v>
      </c>
      <c r="D32" s="1774" t="s">
        <v>3429</v>
      </c>
      <c r="E32" s="129"/>
      <c r="F32" s="129"/>
      <c r="G32" s="129"/>
      <c r="H32" s="129"/>
      <c r="I32" s="129"/>
    </row>
    <row r="33" spans="1:15" ht="14">
      <c r="A33" s="785" t="s">
        <v>1306</v>
      </c>
      <c r="B33" s="1775"/>
      <c r="C33" s="1776" t="s">
        <v>3428</v>
      </c>
      <c r="D33" s="1777" t="s">
        <v>3413</v>
      </c>
      <c r="E33" s="1778" t="s">
        <v>1307</v>
      </c>
      <c r="F33" s="1779" t="str">
        <f>IF(D32="楼面单价","取值（单价）","取值（总价）")</f>
        <v>取值（单价）</v>
      </c>
      <c r="G33" s="129"/>
      <c r="H33" s="129"/>
      <c r="I33" s="129"/>
    </row>
    <row r="34" spans="1:15" ht="14">
      <c r="A34" s="1780"/>
      <c r="B34" s="1781" t="s">
        <v>1308</v>
      </c>
      <c r="C34" s="148">
        <f ca="1">IF(C33="自定义",F34,C32-C35)</f>
        <v>15426</v>
      </c>
      <c r="D34" s="860">
        <f ca="1">IF(C33="自定义",ROUND(C34/C32,3),IF(C33="收益比率",SUMIF(INDIRECT("'"&amp;D33&amp;"'"&amp;"!b:b"),"土地收益比率",INDIRECT("'"&amp;D33&amp;"'"&amp;"!c:c")),SUMIF(INDIRECT("'"&amp;D33&amp;"'"&amp;"!b:b"),"土地成本比率",INDIRECT("'"&amp;D33&amp;"'"&amp;"!c:c"))))</f>
        <v>0.70100000000000007</v>
      </c>
      <c r="E34" s="1782" t="s">
        <v>1309</v>
      </c>
      <c r="F34" s="1329"/>
      <c r="G34" s="129"/>
      <c r="H34" s="129"/>
      <c r="I34" s="129"/>
    </row>
    <row r="35" spans="1:15" ht="14.5" thickBot="1">
      <c r="A35" s="1783"/>
      <c r="B35" s="1784" t="s">
        <v>1310</v>
      </c>
      <c r="C35" s="1169">
        <f ca="1">IF(C33="自定义",F35,ROUND(C32*D35,0))</f>
        <v>6579</v>
      </c>
      <c r="D35" s="1170">
        <f ca="1">IF(C33="自定义",ROUND(C35/C32,3),IF(C33="收益比率",SUMIF(INDIRECT("'"&amp;D33&amp;"'"&amp;"!b:b"),"建筑物收益比率",INDIRECT("'"&amp;D33&amp;"'"&amp;"!c:c")),SUMIF(INDIRECT("'"&amp;D33&amp;"'"&amp;"!b:b"),"建筑物成本比率",INDIRECT("'"&amp;D33&amp;"'"&amp;"!c:c"))))</f>
        <v>0.29899999999999999</v>
      </c>
      <c r="E35" s="1785" t="s">
        <v>1311</v>
      </c>
      <c r="F35" s="154"/>
      <c r="G35" s="129"/>
      <c r="H35" s="129"/>
      <c r="I35" s="129"/>
    </row>
    <row r="36" spans="1:15" ht="14.5" thickBot="1">
      <c r="A36" s="3600" t="s">
        <v>1312</v>
      </c>
      <c r="B36" s="1786" t="s">
        <v>1313</v>
      </c>
      <c r="C36" s="145"/>
      <c r="D36" s="1787"/>
      <c r="E36" s="1788"/>
      <c r="F36" s="1789"/>
      <c r="G36" s="129"/>
      <c r="H36" s="129"/>
      <c r="I36" s="129"/>
    </row>
    <row r="37" spans="1:15" ht="14.5" thickBot="1">
      <c r="A37" s="3601"/>
      <c r="B37" s="1673" t="s">
        <v>1314</v>
      </c>
      <c r="C37" s="147"/>
      <c r="D37" s="1138"/>
      <c r="E37" s="1138"/>
      <c r="F37" s="1789"/>
      <c r="G37" s="129"/>
      <c r="H37" s="129"/>
      <c r="I37" s="129"/>
    </row>
    <row r="38" spans="1:15" ht="14.5" thickBot="1">
      <c r="A38" s="3602"/>
      <c r="B38" s="1790" t="s">
        <v>1315</v>
      </c>
      <c r="C38" s="673"/>
      <c r="D38" s="1791" t="s">
        <v>1316</v>
      </c>
      <c r="E38" s="1138"/>
      <c r="F38" s="1789"/>
      <c r="G38" s="129"/>
      <c r="H38" s="129"/>
      <c r="I38" s="129"/>
    </row>
    <row r="39" spans="1:15" ht="14">
      <c r="A39" s="1763" t="s">
        <v>1317</v>
      </c>
      <c r="B39" s="1792" t="s">
        <v>1318</v>
      </c>
      <c r="C39" s="1793" t="s">
        <v>1319</v>
      </c>
      <c r="D39" s="1793" t="s">
        <v>1320</v>
      </c>
      <c r="E39" s="1794" t="s">
        <v>1321</v>
      </c>
      <c r="F39" s="1789"/>
      <c r="G39" s="129"/>
      <c r="H39" s="129"/>
      <c r="I39" s="129"/>
    </row>
    <row r="40" spans="1:15" ht="14">
      <c r="A40" s="1795" t="s">
        <v>1322</v>
      </c>
      <c r="B40" s="149"/>
      <c r="C40" s="150"/>
      <c r="D40" s="150"/>
      <c r="E40" s="151"/>
      <c r="F40" s="1789"/>
      <c r="G40" s="129"/>
      <c r="H40" s="129"/>
      <c r="I40" s="129"/>
    </row>
    <row r="41" spans="1:15" ht="14">
      <c r="A41" s="1795" t="s">
        <v>1323</v>
      </c>
      <c r="B41" s="149"/>
      <c r="C41" s="150"/>
      <c r="D41" s="150"/>
      <c r="E41" s="151"/>
      <c r="F41" s="1789"/>
      <c r="G41" s="129"/>
      <c r="H41" s="129"/>
      <c r="I41" s="129"/>
    </row>
    <row r="42" spans="1:15" ht="14.5" thickBot="1">
      <c r="A42" s="1796"/>
      <c r="B42" s="152"/>
      <c r="C42" s="153"/>
      <c r="D42" s="153"/>
      <c r="E42" s="154"/>
      <c r="F42" s="1789"/>
      <c r="G42" s="129"/>
      <c r="H42" s="129"/>
      <c r="I42" s="129"/>
    </row>
    <row r="43" spans="1:15" ht="12.5">
      <c r="A43" s="1576"/>
      <c r="B43" s="1576"/>
      <c r="C43" s="1576"/>
      <c r="D43" s="1576"/>
      <c r="E43" s="1576"/>
      <c r="F43" s="1797"/>
      <c r="G43" s="1797"/>
      <c r="H43" s="1797"/>
      <c r="I43" s="1798"/>
    </row>
    <row r="44" spans="1:15" ht="18">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7" t="s">
        <v>1326</v>
      </c>
      <c r="B45" s="3578"/>
      <c r="C45" s="3579"/>
      <c r="D45" s="155">
        <f ca="1">ROUND(H101*F45,0)</f>
        <v>326</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5"/>
      <c r="I46" s="159"/>
      <c r="J46" s="2521">
        <v>1</v>
      </c>
      <c r="K46" s="3636" t="s">
        <v>1331</v>
      </c>
      <c r="L46" s="3636"/>
      <c r="M46" s="3656"/>
      <c r="N46" s="3656"/>
      <c r="O46" s="3656"/>
    </row>
    <row r="47" spans="1:15" ht="12" customHeight="1">
      <c r="A47" s="160" t="s">
        <v>1332</v>
      </c>
      <c r="B47" s="161"/>
      <c r="C47" s="162"/>
      <c r="D47" s="1086" t="s">
        <v>1333</v>
      </c>
      <c r="E47" s="302" t="s">
        <v>1334</v>
      </c>
      <c r="F47" s="163" t="s">
        <v>1335</v>
      </c>
      <c r="G47" s="2544" t="s">
        <v>1336</v>
      </c>
      <c r="H47" s="2545"/>
      <c r="I47" s="159"/>
      <c r="J47" s="2521">
        <v>2</v>
      </c>
      <c r="K47" s="3636" t="s">
        <v>1337</v>
      </c>
      <c r="L47" s="3636"/>
      <c r="M47" s="3657">
        <f>'数据-取费表'!B2</f>
        <v>45716</v>
      </c>
      <c r="N47" s="3657"/>
      <c r="O47" s="3657"/>
    </row>
    <row r="48" spans="1:15" ht="26">
      <c r="A48" s="3605" t="s">
        <v>1338</v>
      </c>
      <c r="B48" s="3588"/>
      <c r="C48" s="3588"/>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36" t="s">
        <v>1340</v>
      </c>
      <c r="L48" s="3636"/>
      <c r="M48" s="3658">
        <f ca="1">H101</f>
        <v>326</v>
      </c>
      <c r="N48" s="3658"/>
      <c r="O48" s="3658"/>
    </row>
    <row r="49" spans="1:35" ht="25.5" customHeight="1">
      <c r="A49" s="2332" t="s">
        <v>1341</v>
      </c>
      <c r="B49" s="3572" t="s">
        <v>1342</v>
      </c>
      <c r="C49" s="3572"/>
      <c r="D49" s="1589">
        <v>0</v>
      </c>
      <c r="E49" s="324" t="s">
        <v>1343</v>
      </c>
      <c r="F49" s="2422" t="s">
        <v>28</v>
      </c>
      <c r="G49" s="3642"/>
      <c r="H49" s="2309" t="s">
        <v>2133</v>
      </c>
      <c r="I49" s="2310"/>
      <c r="J49" s="2521">
        <v>4</v>
      </c>
      <c r="K49" s="3636" t="str">
        <f>IF(项目基本情况!E8="房地产抵押价值","房地产抵押价值","抵押担保权已注销时的房地产抵押价值")</f>
        <v>房地产抵押价值</v>
      </c>
      <c r="L49" s="3636"/>
      <c r="M49" s="3658">
        <f ca="1">IF(项目基本情况!E8="房地产抵押价值",H107,H109)</f>
        <v>326</v>
      </c>
      <c r="N49" s="3658"/>
      <c r="O49" s="3658"/>
    </row>
    <row r="50" spans="1:35" ht="25.5" customHeight="1">
      <c r="A50" s="2549"/>
      <c r="B50" s="3572" t="s">
        <v>1344</v>
      </c>
      <c r="C50" s="3572"/>
      <c r="D50" s="2550"/>
      <c r="E50" s="332"/>
      <c r="F50" s="2422"/>
      <c r="G50" s="3643"/>
      <c r="H50" s="2311" t="s">
        <v>2134</v>
      </c>
      <c r="I50" s="2310"/>
      <c r="J50" s="3655" t="s">
        <v>1345</v>
      </c>
      <c r="K50" s="3655"/>
      <c r="L50" s="3655"/>
      <c r="M50" s="3655"/>
      <c r="N50" s="3655"/>
      <c r="O50" s="3655"/>
    </row>
    <row r="51" spans="1:35" ht="20.5" customHeight="1">
      <c r="A51" s="2551"/>
      <c r="B51" s="3572" t="s">
        <v>1346</v>
      </c>
      <c r="C51" s="3572"/>
      <c r="D51" s="1086"/>
      <c r="E51" s="327"/>
      <c r="F51" s="2422"/>
      <c r="G51" s="3644"/>
      <c r="H51" s="2311" t="s">
        <v>2135</v>
      </c>
      <c r="I51" s="2310"/>
      <c r="J51" s="2522" t="s">
        <v>1347</v>
      </c>
      <c r="K51" s="3636" t="s">
        <v>1348</v>
      </c>
      <c r="L51" s="3636"/>
      <c r="M51" s="2522" t="s">
        <v>1349</v>
      </c>
      <c r="N51" s="2522" t="s">
        <v>1350</v>
      </c>
      <c r="O51" s="2522" t="s">
        <v>1351</v>
      </c>
    </row>
    <row r="52" spans="1:35" ht="24" customHeight="1">
      <c r="A52" s="2334" t="s">
        <v>1352</v>
      </c>
      <c r="B52" s="3572" t="s">
        <v>1353</v>
      </c>
      <c r="C52" s="3572"/>
      <c r="D52" s="1086">
        <f ca="1">ROUND(D45*'数据-取费表'!B41/(1+'数据-取费表'!C42),0)</f>
        <v>17</v>
      </c>
      <c r="E52" s="2333" t="s">
        <v>1354</v>
      </c>
      <c r="F52" s="2552">
        <f>'数据-取费表'!B41</f>
        <v>5.5000000000000007E-2</v>
      </c>
      <c r="G52" s="2553"/>
      <c r="H52" s="2542"/>
      <c r="I52" s="1806"/>
      <c r="J52" s="2521">
        <v>1</v>
      </c>
      <c r="K52" s="3637" t="s">
        <v>1355</v>
      </c>
      <c r="L52" s="3637"/>
      <c r="M52" s="2523" t="b">
        <f>D48</f>
        <v>0</v>
      </c>
      <c r="N52" s="2521" t="str">
        <f>E48</f>
        <v>销售额×税（费）率</v>
      </c>
      <c r="O52" s="2524">
        <f>F48</f>
        <v>5.5000000000000007E-2</v>
      </c>
    </row>
    <row r="53" spans="1:35" ht="12" customHeight="1">
      <c r="A53" s="2334" t="s">
        <v>1356</v>
      </c>
      <c r="B53" s="3598" t="s">
        <v>2290</v>
      </c>
      <c r="C53" s="3599"/>
      <c r="D53" s="1086">
        <f ca="1">ROUND(D45*'数据-取费表'!B41/(1+'数据-取费表'!C42),0)</f>
        <v>17</v>
      </c>
      <c r="E53" s="2333" t="s">
        <v>1354</v>
      </c>
      <c r="F53" s="2552">
        <f>'数据-取费表'!B41</f>
        <v>5.5000000000000007E-2</v>
      </c>
      <c r="G53" s="2553"/>
      <c r="H53" s="2542"/>
      <c r="I53" s="1806"/>
      <c r="J53" s="2521">
        <v>2</v>
      </c>
      <c r="K53" s="3637" t="s">
        <v>1357</v>
      </c>
      <c r="L53" s="3637"/>
      <c r="M53" s="2523">
        <f t="shared" ref="M53:O54" ca="1" si="0">D55</f>
        <v>0</v>
      </c>
      <c r="N53" s="2521" t="str">
        <f t="shared" si="0"/>
        <v>销售额×税（费）率</v>
      </c>
      <c r="O53" s="2524" t="str">
        <f t="shared" si="0"/>
        <v>免征</v>
      </c>
    </row>
    <row r="54" spans="1:35" ht="12" customHeight="1">
      <c r="A54" s="2334" t="s">
        <v>1358</v>
      </c>
      <c r="B54" s="3598" t="s">
        <v>2291</v>
      </c>
      <c r="C54" s="3599"/>
      <c r="D54" s="1086">
        <f ca="1">C68</f>
        <v>17</v>
      </c>
      <c r="E54" s="327" t="s">
        <v>1359</v>
      </c>
      <c r="F54" s="2552">
        <f>'数据-取费表'!B41</f>
        <v>5.5000000000000007E-2</v>
      </c>
      <c r="G54" s="2553"/>
      <c r="H54" s="2554"/>
      <c r="I54" s="1806"/>
      <c r="J54" s="2521">
        <v>3</v>
      </c>
      <c r="K54" s="3637" t="s">
        <v>1360</v>
      </c>
      <c r="L54" s="3637"/>
      <c r="M54" s="2523">
        <f t="shared" ca="1" si="0"/>
        <v>184</v>
      </c>
      <c r="N54" s="2521" t="str">
        <f t="shared" si="0"/>
        <v>增值额×税（费）率</v>
      </c>
      <c r="O54" s="2525" t="str">
        <f t="shared" si="0"/>
        <v>免征</v>
      </c>
    </row>
    <row r="55" spans="1:35" ht="24" customHeight="1">
      <c r="A55" s="3587" t="s">
        <v>1361</v>
      </c>
      <c r="B55" s="3588"/>
      <c r="C55" s="3588"/>
      <c r="D55" s="2323">
        <f ca="1">IF(H55="个人住宅",0,ROUND(D45*I55,0))</f>
        <v>0</v>
      </c>
      <c r="E55" s="2333" t="s">
        <v>1362</v>
      </c>
      <c r="F55" s="2552" t="str">
        <f>IF(H55="正常",I55,"免征")</f>
        <v>免征</v>
      </c>
      <c r="G55" s="2553"/>
      <c r="H55" s="2548"/>
      <c r="I55" s="165">
        <f>'数据-取费表'!B49</f>
        <v>5.0000000000000001E-4</v>
      </c>
      <c r="J55" s="2521">
        <f>IF(H59="非个人房产","",4)</f>
        <v>4</v>
      </c>
      <c r="K55" s="3637" t="str">
        <f>IF(H59="非个人房产","——","个人所得税")</f>
        <v>个人所得税</v>
      </c>
      <c r="L55" s="3637"/>
      <c r="M55" s="2526">
        <f ca="1">D59</f>
        <v>3</v>
      </c>
      <c r="N55" s="2039" t="str">
        <f>E59</f>
        <v>差额计税</v>
      </c>
      <c r="O55" s="2527">
        <f>F59</f>
        <v>0.01</v>
      </c>
    </row>
    <row r="56" spans="1:35" ht="26">
      <c r="A56" s="3587" t="s">
        <v>1363</v>
      </c>
      <c r="B56" s="3588"/>
      <c r="C56" s="3588"/>
      <c r="D56" s="2323">
        <f ca="1">IF(H56="个人住宅",D57,D58)</f>
        <v>184</v>
      </c>
      <c r="E56" s="2333" t="s">
        <v>1364</v>
      </c>
      <c r="F56" s="2552" t="str">
        <f>IF(H56="正常",F58,"免征")</f>
        <v>免征</v>
      </c>
      <c r="G56" s="2555" t="s">
        <v>1365</v>
      </c>
      <c r="H56" s="2556"/>
      <c r="I56" s="1807"/>
      <c r="J56" s="2521" t="str">
        <f>IF(项目基本情况!K6="上海银行",IF(J55="",4,J55+1),"")</f>
        <v/>
      </c>
      <c r="K56" s="3660" t="str">
        <f>IF(项目基本情况!K6="上海银行","其他处置费用","")</f>
        <v/>
      </c>
      <c r="L56" s="3661"/>
      <c r="M56" s="2523" t="str">
        <f>IF(项目基本情况!K6="上海银行",M69,"")</f>
        <v/>
      </c>
      <c r="N56" s="3660" t="str">
        <f>IF(项目基本情况!K6="上海银行","包含处置中涉及的律师、诉讼、拍卖、评估等费用","")</f>
        <v/>
      </c>
      <c r="O56" s="3663"/>
    </row>
    <row r="57" spans="1:35" ht="13">
      <c r="A57" s="2334" t="s">
        <v>1341</v>
      </c>
      <c r="B57" s="3598" t="s">
        <v>1366</v>
      </c>
      <c r="C57" s="3599"/>
      <c r="D57" s="1589">
        <v>0</v>
      </c>
      <c r="E57" s="324" t="s">
        <v>1343</v>
      </c>
      <c r="F57" s="302"/>
      <c r="G57" s="2553"/>
      <c r="H57" s="2557"/>
      <c r="I57" s="1807"/>
      <c r="J57" s="3637">
        <f>IF(AND(J55="",J56=""),4,IF(项目基本情况!K6="上海银行",结果表!J56+1,结果表!J55+1))</f>
        <v>5</v>
      </c>
      <c r="K57" s="3637" t="s">
        <v>1367</v>
      </c>
      <c r="L57" s="2528" t="s">
        <v>1368</v>
      </c>
      <c r="M57" s="2529"/>
      <c r="N57" s="2530">
        <f ca="1">SUMIF(M52:M56,"&lt;9e307")</f>
        <v>187</v>
      </c>
      <c r="O57" s="2531"/>
      <c r="P57" s="2687">
        <f ca="1">N57/M49</f>
        <v>0.57361963190184051</v>
      </c>
    </row>
    <row r="58" spans="1:35" ht="26">
      <c r="A58" s="2334" t="s">
        <v>1352</v>
      </c>
      <c r="B58" s="3598" t="s">
        <v>1369</v>
      </c>
      <c r="C58" s="3572"/>
      <c r="D58" s="2323">
        <f ca="1">IF(H58="转让取得",C81,C97)</f>
        <v>184</v>
      </c>
      <c r="E58" s="2333" t="s">
        <v>1364</v>
      </c>
      <c r="F58" s="302" t="s">
        <v>28</v>
      </c>
      <c r="G58" s="2553"/>
      <c r="H58" s="2556"/>
      <c r="I58" s="1807"/>
      <c r="J58" s="3637"/>
      <c r="K58" s="3637"/>
      <c r="L58" s="2528" t="s">
        <v>1370</v>
      </c>
      <c r="M58" s="2532"/>
      <c r="N58" s="2533" t="str">
        <f ca="1">NUMBERSTRING(INT(N57*10000),2)&amp;"元整"</f>
        <v>壹佰捌拾柒万元整</v>
      </c>
      <c r="O58" s="2534"/>
    </row>
    <row r="59" spans="1:35" ht="26.5" thickBot="1">
      <c r="A59" s="3640" t="s">
        <v>1371</v>
      </c>
      <c r="B59" s="3641"/>
      <c r="C59" s="3641"/>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38">
        <f>J57+1</f>
        <v>6</v>
      </c>
      <c r="K59" s="3637" t="s">
        <v>1372</v>
      </c>
      <c r="L59" s="2521" t="s">
        <v>1368</v>
      </c>
      <c r="M59" s="2535"/>
      <c r="N59" s="2536">
        <f ca="1">M49-N57</f>
        <v>139</v>
      </c>
      <c r="O59" s="2537"/>
    </row>
    <row r="60" spans="1:35" ht="12" customHeight="1">
      <c r="A60" s="1808"/>
      <c r="B60" s="1746"/>
      <c r="C60" s="1746"/>
      <c r="D60" s="1746"/>
      <c r="E60" s="1577"/>
      <c r="F60" s="1807"/>
      <c r="G60" s="1807"/>
      <c r="H60" s="1809"/>
      <c r="I60" s="129"/>
      <c r="J60" s="3639"/>
      <c r="K60" s="3637"/>
      <c r="L60" s="2528" t="s">
        <v>1370</v>
      </c>
      <c r="M60" s="2532"/>
      <c r="N60" s="2533" t="str">
        <f ca="1">NUMBERSTRING(INT(N59*10000),2)&amp;"元整"</f>
        <v>壹佰叁拾玖万元整</v>
      </c>
      <c r="O60" s="2534"/>
    </row>
    <row r="61" spans="1:35" ht="13.5" thickBot="1">
      <c r="A61" s="3585" t="s">
        <v>1373</v>
      </c>
      <c r="B61" s="3585"/>
      <c r="C61" s="3585"/>
      <c r="D61" s="3585"/>
      <c r="E61" s="3585"/>
      <c r="F61" s="1807"/>
      <c r="G61" s="1807"/>
      <c r="H61" s="1809"/>
      <c r="I61" s="129"/>
      <c r="J61" s="2521">
        <f>J59+1</f>
        <v>7</v>
      </c>
      <c r="K61" s="3637" t="s">
        <v>1374</v>
      </c>
      <c r="L61" s="3637"/>
      <c r="M61" s="2538"/>
      <c r="N61" s="2539">
        <f ca="1">ROUND(N59*10000/'数据-汇总表'!E3,0)</f>
        <v>9384</v>
      </c>
      <c r="O61" s="2540"/>
    </row>
    <row r="62" spans="1:35" ht="13">
      <c r="A62" s="3603" t="s">
        <v>1375</v>
      </c>
      <c r="B62" s="3604"/>
      <c r="C62" s="2020"/>
      <c r="D62" s="2020" t="s">
        <v>1376</v>
      </c>
      <c r="E62" s="166" t="s">
        <v>1377</v>
      </c>
      <c r="F62" s="1807"/>
      <c r="G62" s="1807"/>
      <c r="H62" s="1809"/>
      <c r="I62" s="129"/>
    </row>
    <row r="63" spans="1:35" ht="13">
      <c r="A63" s="173" t="s">
        <v>330</v>
      </c>
      <c r="B63" s="167" t="s">
        <v>1378</v>
      </c>
      <c r="C63" s="2562">
        <f ca="1">ROUND((C64+C65)/(1+'数据-取费表'!C42),0)</f>
        <v>310</v>
      </c>
      <c r="D63" s="167"/>
      <c r="E63" s="168"/>
      <c r="F63" s="1807"/>
      <c r="G63" s="1807"/>
      <c r="H63" s="1809"/>
      <c r="I63" s="129"/>
      <c r="J63" s="3662" t="s">
        <v>1379</v>
      </c>
      <c r="K63" s="1331" t="s">
        <v>1380</v>
      </c>
      <c r="L63" s="1331">
        <f ca="1">IF(M49&gt;10000,M49*0.5%,IF(AND(M49&gt;1000,M49&lt;=10000),M49*1%,IF(AND(M49&gt;100,M49&lt;=1000),M49*3%,IF(AND(M49&gt;10,M49&lt;=100),M49*5%,M49*8%))))</f>
        <v>9.7799999999999994</v>
      </c>
      <c r="M63" s="302">
        <f ca="1">ROUND(L63,1)</f>
        <v>9.8000000000000007</v>
      </c>
      <c r="N63" s="2541"/>
      <c r="Z63" s="1751"/>
      <c r="AI63" s="1752"/>
    </row>
    <row r="64" spans="1:35" ht="14.25" customHeight="1">
      <c r="A64" s="169" t="s">
        <v>325</v>
      </c>
      <c r="B64" s="170" t="s">
        <v>1381</v>
      </c>
      <c r="C64" s="2563">
        <f ca="1">D45</f>
        <v>326</v>
      </c>
      <c r="D64" s="170" t="s">
        <v>26</v>
      </c>
      <c r="E64" s="172"/>
      <c r="F64" s="1807"/>
      <c r="G64" s="1807"/>
      <c r="H64" s="1809"/>
      <c r="I64" s="129"/>
      <c r="J64" s="3662"/>
      <c r="K64" s="1331" t="s">
        <v>1382</v>
      </c>
      <c r="L64" s="1331">
        <f ca="1">IF(M49&gt;2000,M49*0.5%,IF(AND(M49&gt;1000,M49&lt;=2000),M49*0.6%,IF(AND(M49&gt;500,M49&lt;=1000),M49*0.7%,IF(AND(M49&gt;200,M49&lt;=500),M49*0.8%,IF(AND(M49&gt;100,M49&lt;=200),M49*0.9%,IF(AND(M49&gt;50,M49&lt;=100),M49*1%,IF(AND(M49&gt;20,M49&lt;=50),M49*1.5%,IF(AND(M49&gt;10,M49&lt;=20),M49*2%,IF(AND(M49&gt;1,M49&lt;=10),M49*2.5%)))))))))</f>
        <v>2.6080000000000001</v>
      </c>
      <c r="M64" s="302">
        <f t="shared" ref="M64:M65" ca="1" si="1">ROUND(L64,1)</f>
        <v>2.6</v>
      </c>
      <c r="N64" s="2542" t="s">
        <v>1383</v>
      </c>
      <c r="Z64" s="1751"/>
      <c r="AI64" s="1752"/>
    </row>
    <row r="65" spans="1:35" ht="14.25" customHeight="1">
      <c r="A65" s="169" t="s">
        <v>326</v>
      </c>
      <c r="B65" s="170" t="s">
        <v>1384</v>
      </c>
      <c r="C65" s="2564"/>
      <c r="D65" s="170"/>
      <c r="E65" s="172"/>
      <c r="F65" s="1807"/>
      <c r="G65" s="1807"/>
      <c r="H65" s="1809"/>
      <c r="I65" s="129"/>
      <c r="J65" s="3662"/>
      <c r="K65" s="1331" t="s">
        <v>1385</v>
      </c>
      <c r="L65" s="1331">
        <f ca="1">IF(M49&gt;1000,M49*0.1%,IF(AND(M49&gt;500,M49&lt;=1000),M49*0.5%,IF(AND(M49&gt;50,M49&lt;=500),M49*1%,IF(AND(M49&gt;1,M49&lt;=50),M49*1.5%))))</f>
        <v>3.2600000000000002</v>
      </c>
      <c r="M65" s="302">
        <f t="shared" ca="1" si="1"/>
        <v>3.3</v>
      </c>
      <c r="N65" s="2542" t="s">
        <v>1383</v>
      </c>
      <c r="Z65" s="1751"/>
      <c r="AI65" s="1752"/>
    </row>
    <row r="66" spans="1:35" ht="14.25" customHeight="1">
      <c r="A66" s="173" t="s">
        <v>327</v>
      </c>
      <c r="B66" s="174" t="s">
        <v>1386</v>
      </c>
      <c r="C66" s="2565"/>
      <c r="D66" s="174" t="s">
        <v>26</v>
      </c>
      <c r="E66" s="1337" t="s">
        <v>671</v>
      </c>
      <c r="F66" s="1807"/>
      <c r="G66" s="1807"/>
      <c r="H66" s="1809"/>
      <c r="I66" s="129"/>
      <c r="J66" s="3662"/>
      <c r="K66" s="1331" t="s">
        <v>1387</v>
      </c>
      <c r="L66" s="1331">
        <f ca="1">M49*0.5%</f>
        <v>1.6300000000000001</v>
      </c>
      <c r="M66" s="302">
        <f ca="1">IF(L66&gt;0.5,0.5,ROUND(L66,0))</f>
        <v>0.5</v>
      </c>
      <c r="N66" s="2542" t="s">
        <v>1388</v>
      </c>
      <c r="Z66" s="1751"/>
      <c r="AI66" s="1752"/>
    </row>
    <row r="67" spans="1:35" ht="14.25" customHeight="1">
      <c r="A67" s="173" t="s">
        <v>328</v>
      </c>
      <c r="B67" s="174" t="s">
        <v>1389</v>
      </c>
      <c r="C67" s="2566">
        <f ca="1">C63-C66</f>
        <v>310</v>
      </c>
      <c r="D67" s="170" t="s">
        <v>26</v>
      </c>
      <c r="E67" s="172"/>
      <c r="F67" s="1807"/>
      <c r="G67" s="1807"/>
      <c r="H67" s="1809"/>
      <c r="I67" s="129"/>
      <c r="J67" s="3662"/>
      <c r="K67" s="1331" t="s">
        <v>1390</v>
      </c>
      <c r="L67" s="1331">
        <f ca="1">IF(M49&gt;=10000,(8.25+(M49-10000)*0.01%),IF(AND(M49&gt;=8000,M49&lt;10000),(7.85+(M49-8000)*0.02%),IF(AND(M49&gt;=5000,M49&lt;8000),(6.65+(M49-5000)*0.04%),IF(AND(M49&gt;=2000,M49&lt;5000),(4.25+(PM49-2000)*0.08%),IF(AND(M49&gt;=1000,M49&lt;2000),(2.75+(M49-1000)*0.15%),IF(AND(M49&gt;=100,M49&lt;1000),(0.5+(M49-100)*0.25%),IF(AND(M49&gt;0,M49&lt;100),M49*0.5%)))))))</f>
        <v>1.0649999999999999</v>
      </c>
      <c r="M67" s="302">
        <f ca="1">ROUND(L67*0.9,1)</f>
        <v>1</v>
      </c>
      <c r="N67" s="2541"/>
      <c r="Z67" s="1751"/>
      <c r="AI67" s="1752"/>
    </row>
    <row r="68" spans="1:35" ht="14.25" customHeight="1" thickBot="1">
      <c r="A68" s="176" t="s">
        <v>329</v>
      </c>
      <c r="B68" s="177" t="s">
        <v>1391</v>
      </c>
      <c r="C68" s="2567">
        <f ca="1">IF(C67&lt;=0,0,ROUND(C67*D68,0))</f>
        <v>17</v>
      </c>
      <c r="D68" s="2568">
        <f>'数据-取费表'!B41</f>
        <v>5.5000000000000007E-2</v>
      </c>
      <c r="E68" s="178"/>
      <c r="F68" s="1807"/>
      <c r="G68" s="1807"/>
      <c r="H68" s="1809"/>
      <c r="I68" s="129"/>
      <c r="J68" s="3662"/>
      <c r="K68" s="1331" t="s">
        <v>1392</v>
      </c>
      <c r="L68" s="1331">
        <f ca="1">IF(M49&gt;10000,M49*0.5%,IF(AND(M49&gt;5000,M49&lt;=10000),M49*1%,IF(AND(M49&gt;1000,M49&lt;=5000),M49*2%,IF(AND(M49&gt;200,M49&lt;=1000),M49*3%,M49*5%))))</f>
        <v>9.7799999999999994</v>
      </c>
      <c r="M68" s="302">
        <f ca="1">ROUND(L68,1)</f>
        <v>9.8000000000000007</v>
      </c>
      <c r="N68" s="2541"/>
      <c r="Z68" s="1751"/>
      <c r="AI68" s="1752"/>
    </row>
    <row r="69" spans="1:35" s="1771" customFormat="1" ht="16.5" customHeight="1">
      <c r="A69" s="1810"/>
      <c r="B69" s="1811"/>
      <c r="C69" s="1812"/>
      <c r="D69" s="1813"/>
      <c r="E69" s="1814"/>
      <c r="F69" s="1577"/>
      <c r="G69" s="1577"/>
      <c r="H69" s="1576"/>
      <c r="I69" s="1746"/>
      <c r="J69" s="3662"/>
      <c r="K69" s="1331" t="s">
        <v>1393</v>
      </c>
      <c r="L69" s="1331"/>
      <c r="M69" s="302">
        <f ca="1">ROUND(SUM(M63:M68),0)</f>
        <v>27</v>
      </c>
      <c r="N69" s="2543">
        <f ca="1">M69/M49</f>
        <v>8.2822085889570546E-2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5" thickBot="1">
      <c r="A70" s="3624" t="s">
        <v>1394</v>
      </c>
      <c r="B70" s="3625"/>
      <c r="C70" s="3625"/>
      <c r="D70" s="3625"/>
      <c r="E70" s="3625"/>
      <c r="F70" s="3625"/>
      <c r="G70" s="3625"/>
      <c r="H70" s="3625"/>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
      <c r="A71" s="3603" t="s">
        <v>1375</v>
      </c>
      <c r="B71" s="3604"/>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
      <c r="A72" s="173" t="s">
        <v>330</v>
      </c>
      <c r="B72" s="174" t="s">
        <v>1395</v>
      </c>
      <c r="C72" s="2566">
        <f ca="1">ROUND(D45/(1+'数据-取费表'!C42),0)</f>
        <v>310</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6">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8" t="s">
        <v>1402</v>
      </c>
      <c r="F76" s="3572"/>
      <c r="G76" s="3572"/>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582" t="s">
        <v>1406</v>
      </c>
      <c r="F78" s="3583"/>
      <c r="G78" s="3583"/>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
      <c r="A79" s="173" t="s">
        <v>334</v>
      </c>
      <c r="B79" s="174" t="s">
        <v>1407</v>
      </c>
      <c r="C79" s="2566">
        <f ca="1">C72-C73</f>
        <v>308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6">
      <c r="A80" s="173" t="s">
        <v>335</v>
      </c>
      <c r="B80" s="174" t="s">
        <v>1408</v>
      </c>
      <c r="C80" s="2576">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6.5" thickBot="1">
      <c r="A81" s="176" t="s">
        <v>336</v>
      </c>
      <c r="B81" s="177" t="s">
        <v>1409</v>
      </c>
      <c r="C81" s="2577">
        <f ca="1">ROUND(IF(C79&lt;=0,0,IF(C80&gt;=200%,C79*60%-C73*35%,IF(C80&gt;=100%,C79*50%-C73*15%,IF(C80&gt;=50%,C79*40%-C73*5%,IF(C80&lt;50%,C79*30%,0))))),0)</f>
        <v>184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5" thickBot="1">
      <c r="A83" s="3624" t="s">
        <v>1410</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
      <c r="A85" s="173" t="s">
        <v>330</v>
      </c>
      <c r="B85" s="174" t="s">
        <v>1395</v>
      </c>
      <c r="C85" s="2566">
        <f ca="1">ROUND(D45/(1+'数据-取费表'!C42),0)</f>
        <v>310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
      <c r="A90" s="169" t="s">
        <v>326</v>
      </c>
      <c r="B90" s="170" t="s">
        <v>1416</v>
      </c>
      <c r="C90" s="2580"/>
      <c r="D90" s="2575"/>
      <c r="E90" s="193" t="str">
        <f>IF(H88="-","土地取得成本中已包含该笔费用"," ")</f>
        <v xml:space="preserve"> </v>
      </c>
      <c r="F90" s="2326"/>
      <c r="G90" s="3664" t="s">
        <v>2128</v>
      </c>
      <c r="H90" s="3665"/>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2" t="s">
        <v>1419</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2" t="s">
        <v>1422</v>
      </c>
      <c r="F92" s="3583"/>
      <c r="G92" s="3583"/>
      <c r="H92" s="3592"/>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582" t="s">
        <v>1406</v>
      </c>
      <c r="F93" s="3583"/>
      <c r="G93" s="3583"/>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93" t="s">
        <v>1426</v>
      </c>
      <c r="F94" s="3594"/>
      <c r="G94" s="3594"/>
      <c r="H94" s="35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
      <c r="A95" s="173" t="s">
        <v>334</v>
      </c>
      <c r="B95" s="174" t="s">
        <v>1407</v>
      </c>
      <c r="C95" s="2566">
        <f ca="1">ROUND(C85-C86,0)</f>
        <v>308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6">
      <c r="A96" s="173" t="s">
        <v>335</v>
      </c>
      <c r="B96" s="174" t="s">
        <v>1408</v>
      </c>
      <c r="C96" s="2576">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6.5" thickBot="1">
      <c r="A97" s="176" t="s">
        <v>336</v>
      </c>
      <c r="B97" s="177" t="s">
        <v>1409</v>
      </c>
      <c r="C97" s="2577">
        <f ca="1">ROUND(IF(C95&lt;=0,0,IF(C96&gt;=200%,C95*60%-C86*35%,IF(C96&gt;=100%,C95*50%-C86*15%,IF(C96&gt;=50%,C95*40%-C86*5%,IF(C96&lt;50%,C95*30%,0))))),0)</f>
        <v>184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3" t="str">
        <f>C4</f>
        <v>比较法-办公</v>
      </c>
      <c r="D101" s="2584" t="str">
        <f>D4</f>
        <v>收益法 (元)</v>
      </c>
      <c r="E101" s="3659" t="s">
        <v>1431</v>
      </c>
      <c r="F101" s="3616"/>
      <c r="G101" s="1826" t="s">
        <v>1432</v>
      </c>
      <c r="H101" s="2593">
        <f ca="1">H118</f>
        <v>326</v>
      </c>
      <c r="I101" s="129"/>
    </row>
    <row r="102" spans="1:35" ht="18.75" customHeight="1">
      <c r="A102" s="3618" t="s">
        <v>1433</v>
      </c>
      <c r="B102" s="2582" t="s">
        <v>1432</v>
      </c>
      <c r="C102" s="2583">
        <f ca="1">IF(D32="楼面单价",ROUND(C19,0),C19)</f>
        <v>389</v>
      </c>
      <c r="D102" s="2584">
        <f ca="1">IF(D32="楼面单价",ROUND(D19,0),D19)</f>
        <v>231</v>
      </c>
      <c r="E102" s="3659"/>
      <c r="F102" s="3616"/>
      <c r="G102" s="1826" t="s">
        <v>1434</v>
      </c>
      <c r="H102" s="2553">
        <f ca="1">I118</f>
        <v>22005</v>
      </c>
      <c r="I102" s="129"/>
    </row>
    <row r="103" spans="1:35" ht="42.75" customHeight="1">
      <c r="A103" s="3618"/>
      <c r="B103" s="2582" t="s">
        <v>1434</v>
      </c>
      <c r="C103" s="2585">
        <f ca="1">C20</f>
        <v>26279</v>
      </c>
      <c r="D103" s="2586">
        <f ca="1">D20</f>
        <v>15594</v>
      </c>
      <c r="E103" s="3653" t="s">
        <v>1435</v>
      </c>
      <c r="F103" s="3654"/>
      <c r="G103" s="1827" t="s">
        <v>1436</v>
      </c>
      <c r="H103" s="2593">
        <f>IF(D36="正常操作",H104+H105+H106,H105+H106)</f>
        <v>0</v>
      </c>
      <c r="I103" s="129"/>
    </row>
    <row r="104" spans="1:35" ht="18.75" customHeight="1">
      <c r="A104" s="3618" t="s">
        <v>1437</v>
      </c>
      <c r="B104" s="2587" t="s">
        <v>1432</v>
      </c>
      <c r="C104" s="2588">
        <f ca="1">H118</f>
        <v>326</v>
      </c>
      <c r="D104" s="2589"/>
      <c r="E104" s="1673" t="s">
        <v>1438</v>
      </c>
      <c r="F104" s="1665"/>
      <c r="G104" s="1827" t="s">
        <v>1436</v>
      </c>
      <c r="H104" s="2594">
        <f>IF(D36="同一抵押权人同一抵押物续贷",C36&amp;"（续贷，未扣减，详见特别提示）",C36)</f>
        <v>0</v>
      </c>
      <c r="I104" s="129"/>
    </row>
    <row r="105" spans="1:35" ht="18.75" customHeight="1" thickBot="1">
      <c r="A105" s="3619"/>
      <c r="B105" s="2590" t="s">
        <v>1434</v>
      </c>
      <c r="C105" s="2591">
        <f ca="1">I118</f>
        <v>22005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5" t="str">
        <f>IF(项目基本情况!E8="已注销","——","3.房地产抵押价值")</f>
        <v>3.房地产抵押价值</v>
      </c>
      <c r="F107" s="3616"/>
      <c r="G107" s="1826" t="s">
        <v>1432</v>
      </c>
      <c r="H107" s="2593">
        <f ca="1">IF(E107="——","——",H101-H103)</f>
        <v>326</v>
      </c>
      <c r="I107" s="129"/>
    </row>
    <row r="108" spans="1:35" ht="18.75" customHeight="1">
      <c r="A108" s="129"/>
      <c r="B108" s="129"/>
      <c r="C108" s="129"/>
      <c r="D108" s="129"/>
      <c r="E108" s="3615"/>
      <c r="F108" s="3616"/>
      <c r="G108" s="1826" t="s">
        <v>1434</v>
      </c>
      <c r="H108" s="2553">
        <f ca="1">IF(H107=H101,H102,ROUND(H107*10000/'数据-汇总表'!E3,0))</f>
        <v>22005</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6" t="s">
        <v>1432</v>
      </c>
      <c r="H109" s="2596" t="str">
        <f>IF(E109="——","——",H101-H105-H106)</f>
        <v>——</v>
      </c>
      <c r="I109" s="129"/>
    </row>
    <row r="110" spans="1:35" ht="18.75" customHeight="1">
      <c r="A110" s="129"/>
      <c r="B110" s="129"/>
      <c r="C110" s="129"/>
      <c r="D110" s="129"/>
      <c r="E110" s="3615"/>
      <c r="F110" s="3616"/>
      <c r="G110" s="1826" t="s">
        <v>1434</v>
      </c>
      <c r="H110" s="2553"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6" t="s">
        <v>1432</v>
      </c>
      <c r="H111" s="2593" t="str">
        <f>IF(E111="——","——",N59)</f>
        <v>——</v>
      </c>
      <c r="I111" s="129"/>
    </row>
    <row r="112" spans="1:35" ht="18.75" customHeight="1" thickBot="1">
      <c r="A112" s="129"/>
      <c r="B112" s="129"/>
      <c r="C112" s="129"/>
      <c r="D112" s="129"/>
      <c r="E112" s="3648"/>
      <c r="F112" s="3649"/>
      <c r="G112" s="1829" t="s">
        <v>1434</v>
      </c>
      <c r="H112" s="2597" t="str">
        <f>IF(E111="——","——",N61)</f>
        <v>——</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8" t="s">
        <v>1449</v>
      </c>
      <c r="E117" s="2328" t="s">
        <v>1450</v>
      </c>
      <c r="F117" s="2328" t="s">
        <v>1449</v>
      </c>
      <c r="G117" s="2328" t="s">
        <v>1451</v>
      </c>
      <c r="H117" s="2328" t="s">
        <v>1449</v>
      </c>
      <c r="I117" s="2328" t="s">
        <v>1451</v>
      </c>
    </row>
    <row r="118" spans="1:27" ht="24.75" customHeight="1">
      <c r="A118" s="2598" t="str">
        <f>项目基本情况!S2</f>
        <v>北京市昌平区英才北三街16号院4号楼3层304办公用房房地产</v>
      </c>
      <c r="B118" s="2328">
        <f>M18</f>
        <v>148.12</v>
      </c>
      <c r="C118" s="2328">
        <f>M19</f>
        <v>0</v>
      </c>
      <c r="D118" s="2328">
        <f ca="1">ROUND(IF(D32="总价",C34,E118*B118/10000),0)</f>
        <v>228</v>
      </c>
      <c r="E118" s="2328">
        <f ca="1">ROUND(IF(C33="自定义",IF(D32="楼面单价",C34,D118*10000/B118),I118-G118),0)</f>
        <v>15426</v>
      </c>
      <c r="F118" s="2328">
        <f ca="1">ROUND(IF(D32="总价",C35,G118*B118/10000),0)</f>
        <v>97</v>
      </c>
      <c r="G118" s="2328">
        <f ca="1">ROUND(IF(D32="楼面单价",C35,F118*10000/B118),0)</f>
        <v>6579</v>
      </c>
      <c r="H118" s="2328">
        <f ca="1">ROUND(IF(D32="总价",C32,I118*B118/10000),0)</f>
        <v>326</v>
      </c>
      <c r="I118" s="2328">
        <f ca="1">ROUND(IF(D32="楼面单价",C32,H118*10000/B118),0)</f>
        <v>22005</v>
      </c>
    </row>
    <row r="119" spans="1:27" ht="18.75" customHeight="1">
      <c r="A119" s="3586" t="s">
        <v>1452</v>
      </c>
      <c r="B119" s="3586"/>
      <c r="C119" s="3586"/>
      <c r="D119" s="3626" t="str">
        <f ca="1">NUMBERSTRING(INT(D118*10000),2)&amp;"元整"</f>
        <v>贰佰贰拾捌万元整</v>
      </c>
      <c r="E119" s="3628"/>
      <c r="F119" s="3626" t="str">
        <f ca="1">NUMBERSTRING(INT(F118*10000),2)&amp;"元整"</f>
        <v>玖拾柒万元整</v>
      </c>
      <c r="G119" s="3628"/>
      <c r="H119" s="3626" t="str">
        <f ca="1">NUMBERSTRING(INT(H118*10000),2)&amp;"元整"</f>
        <v>叁佰贰拾陆万元整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6" t="s">
        <v>1452</v>
      </c>
      <c r="B121" s="3627"/>
      <c r="C121" s="3628"/>
      <c r="D121" s="3626" t="str">
        <f>IF(D120=0,"零元整",NUMBERSTRING(INT(D120*10000),2)&amp;"元整")</f>
        <v>零元整</v>
      </c>
      <c r="E121" s="3627"/>
      <c r="F121" s="3627"/>
      <c r="G121" s="3627"/>
      <c r="H121" s="3627"/>
      <c r="I121" s="3628"/>
      <c r="AA121" s="724"/>
    </row>
    <row r="122" spans="1:27" ht="18.75" customHeight="1">
      <c r="A122" s="3617" t="str">
        <f>IF(项目基本情况!B9="房地产市场价值","",MID(E107,3,LEN(E107)-2))</f>
        <v>房地产抵押价值</v>
      </c>
      <c r="B122" s="3617"/>
      <c r="C122" s="3617"/>
      <c r="D122" s="3650">
        <f ca="1">H107</f>
        <v>326</v>
      </c>
      <c r="E122" s="3651"/>
      <c r="F122" s="3651"/>
      <c r="G122" s="3651"/>
      <c r="H122" s="3651"/>
      <c r="I122" s="3652"/>
      <c r="AA122" s="724"/>
    </row>
    <row r="123" spans="1:27" ht="18.75" customHeight="1">
      <c r="A123" s="3586" t="s">
        <v>1452</v>
      </c>
      <c r="B123" s="3586"/>
      <c r="C123" s="3586"/>
      <c r="D123" s="3626" t="str">
        <f ca="1">NUMBERSTRING(INT(D122*10000),2)&amp;"元整"</f>
        <v>叁佰贰拾陆万元整</v>
      </c>
      <c r="E123" s="3627"/>
      <c r="F123" s="3627"/>
      <c r="G123" s="3627"/>
      <c r="H123" s="3627"/>
      <c r="I123" s="3628"/>
      <c r="AA123" s="724"/>
    </row>
    <row r="124" spans="1:27" ht="18.75" customHeight="1">
      <c r="A124" s="3617" t="str">
        <f>IF(项目基本情况!B9="房地产市场价值","",MID(E109,3,LEN(E109)-2))</f>
        <v/>
      </c>
      <c r="B124" s="3617"/>
      <c r="C124" s="3617"/>
      <c r="D124" s="3650" t="str">
        <f>H109</f>
        <v>——</v>
      </c>
      <c r="E124" s="3651"/>
      <c r="F124" s="3651"/>
      <c r="G124" s="3651"/>
      <c r="H124" s="3651"/>
      <c r="I124" s="3652"/>
      <c r="AA124" s="724"/>
    </row>
    <row r="125" spans="1:27" ht="18.75" customHeight="1">
      <c r="A125" s="3586" t="s">
        <v>1452</v>
      </c>
      <c r="B125" s="3586"/>
      <c r="C125" s="3586"/>
      <c r="D125" s="3626" t="e">
        <f>NUMBERSTRING(INT(D124*10000),2)&amp;"元整"</f>
        <v>#VALUE!</v>
      </c>
      <c r="E125" s="3627"/>
      <c r="F125" s="3627"/>
      <c r="G125" s="3627"/>
      <c r="H125" s="3627"/>
      <c r="I125" s="3628"/>
      <c r="AA125" s="724"/>
    </row>
    <row r="126" spans="1:27" ht="18.75" customHeight="1">
      <c r="A126" s="3617" t="str">
        <f>IF(项目基本情况!B9="房地产市场价值","",MID(E111,3,LEN(E111)-2))</f>
        <v/>
      </c>
      <c r="B126" s="3617"/>
      <c r="C126" s="3617"/>
      <c r="D126" s="3650" t="str">
        <f>H111</f>
        <v>——</v>
      </c>
      <c r="E126" s="3651"/>
      <c r="F126" s="3651"/>
      <c r="G126" s="3651"/>
      <c r="H126" s="3651"/>
      <c r="I126" s="3652"/>
      <c r="AA126" s="724"/>
    </row>
    <row r="127" spans="1:27" ht="18.75" customHeight="1">
      <c r="A127" s="3586" t="s">
        <v>1452</v>
      </c>
      <c r="B127" s="3586"/>
      <c r="C127" s="3586"/>
      <c r="D127" s="3626" t="e">
        <f>NUMBERSTRING(INT(D126*10000),2)&amp;"元整"</f>
        <v>#VALUE!</v>
      </c>
      <c r="E127" s="3627"/>
      <c r="F127" s="3627"/>
      <c r="G127" s="3627"/>
      <c r="H127" s="3627"/>
      <c r="I127" s="3628"/>
      <c r="AA127" s="724"/>
    </row>
    <row r="128" spans="1:27" ht="21.75" customHeight="1">
      <c r="A128" s="3633" t="s">
        <v>1453</v>
      </c>
      <c r="B128" s="3633"/>
      <c r="C128" s="3633"/>
      <c r="D128" s="3633"/>
      <c r="E128" s="3633"/>
      <c r="F128" s="3633"/>
      <c r="G128" s="3633"/>
      <c r="H128" s="3633"/>
      <c r="I128" s="363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4793</v>
      </c>
      <c r="C3" s="199" t="s">
        <v>1465</v>
      </c>
      <c r="D3" s="199"/>
      <c r="E3" s="199"/>
      <c r="F3" s="199"/>
      <c r="G3" s="199"/>
    </row>
    <row r="4" spans="1:9" s="208" customFormat="1" ht="16">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ht="13">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148.12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148.12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6">
      <c r="A25" s="779" t="s">
        <v>1508</v>
      </c>
      <c r="B25" s="215" t="s">
        <v>1509</v>
      </c>
      <c r="C25" s="1104">
        <f ca="1">ROUND(IF('数据-取费表'!B22&lt;=1,C20*F22*'数据-取费表'!B23/2,C20*(POWER((1+F22),'数据-取费表'!B23/2)-1)),0)</f>
        <v>0</v>
      </c>
      <c r="D25" s="238"/>
      <c r="E25" s="241"/>
      <c r="F25" s="239"/>
      <c r="G25" s="242" t="s">
        <v>1510</v>
      </c>
    </row>
    <row r="26" spans="1:7" s="214" customFormat="1" ht="13">
      <c r="A26" s="779" t="s">
        <v>350</v>
      </c>
      <c r="B26" s="215" t="s">
        <v>1511</v>
      </c>
      <c r="C26" s="238">
        <f ca="1">ROUND(IF('数据-取费表'!B22&lt;=1,F21*F22*'数据-取费表'!B23/2,F21*(POWER((1+F22),'数据-取费表'!B23/2)-1)),4)</f>
        <v>5.9999999999999995E-4</v>
      </c>
      <c r="D26" s="238"/>
      <c r="E26" s="241"/>
      <c r="F26" s="239"/>
      <c r="G26" s="243"/>
    </row>
    <row r="27" spans="1:7" s="214" customFormat="1" ht="27">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6">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0.05</v>
      </c>
      <c r="G35" s="219" t="s">
        <v>1528</v>
      </c>
    </row>
    <row r="36" spans="1:7" ht="26">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148.12</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6" t="s">
        <v>1544</v>
      </c>
    </row>
    <row r="43" spans="1:7" ht="13.5" customHeight="1">
      <c r="A43" s="779" t="s">
        <v>347</v>
      </c>
      <c r="B43" s="215" t="s">
        <v>1545</v>
      </c>
      <c r="C43" s="238">
        <f ca="1">ROUND(IF('数据-取费表'!B22&lt;=1,C39*F22*'数据-取费表'!B21/2,C39*(POWER((1+F22),'数据-取费表'!B21/2)-1)),0)</f>
        <v>0</v>
      </c>
      <c r="D43" s="238"/>
      <c r="E43" s="238"/>
      <c r="F43" s="239"/>
      <c r="G43" s="3667"/>
    </row>
    <row r="44" spans="1:7" ht="13.5" customHeight="1">
      <c r="A44" s="779"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82</v>
      </c>
      <c r="D49" s="232"/>
      <c r="E49" s="232"/>
      <c r="F49" s="264"/>
      <c r="G49" s="234" t="s">
        <v>1554</v>
      </c>
    </row>
    <row r="50" spans="1:7" s="258" customFormat="1" ht="26">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71</v>
      </c>
      <c r="D52" s="266"/>
      <c r="E52" s="266"/>
      <c r="F52" s="266"/>
      <c r="G52" s="268"/>
    </row>
    <row r="55" spans="1:7" ht="15.5">
      <c r="B55" s="270" t="s">
        <v>1562</v>
      </c>
      <c r="C55" s="271"/>
    </row>
    <row r="56" spans="1:7" ht="13">
      <c r="B56" s="273" t="s">
        <v>802</v>
      </c>
      <c r="C56" s="275">
        <f ca="1">1-C57</f>
        <v>4.2000000000000037E-2</v>
      </c>
    </row>
    <row r="57" spans="1:7" ht="13">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北京市昌平区英才北三街16号院4号楼3层304办公用房房地产抵押价值预评估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3.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8" width="10.7265625" style="251" customWidth="1"/>
    <col min="9" max="254" width="9" style="251" customWidth="1"/>
    <col min="255" max="16384" width="8.36328125" style="251"/>
  </cols>
  <sheetData>
    <row r="1" spans="1:8" s="200" customFormat="1" ht="21">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 ca="1">基准地价修正!C33*'成本法 (元)'!D10</f>
        <v>#DIV/0!</v>
      </c>
      <c r="D6" s="217"/>
      <c r="E6" s="218"/>
      <c r="F6" s="218"/>
      <c r="G6" s="219"/>
    </row>
    <row r="7" spans="1:8" s="214" customFormat="1" ht="13.5" customHeight="1">
      <c r="A7" s="777" t="s">
        <v>1474</v>
      </c>
      <c r="B7" s="215" t="s">
        <v>1475</v>
      </c>
      <c r="C7" s="220" t="e">
        <f ca="1">ROUND(C6*F7,0)</f>
        <v>#DIV/0!</v>
      </c>
      <c r="D7" s="220"/>
      <c r="E7" s="218"/>
      <c r="F7" s="221">
        <f>IF(项目基本情况!B8="出让",0,'数据-取费表'!B48+'数据-取费表'!B49)</f>
        <v>3.0499999999999999E-2</v>
      </c>
      <c r="G7" s="219"/>
    </row>
    <row r="8" spans="1:8" s="223" customFormat="1" ht="13">
      <c r="A8" s="777" t="s">
        <v>1476</v>
      </c>
      <c r="B8" s="215" t="s">
        <v>1477</v>
      </c>
      <c r="C8" s="220">
        <f ca="1">IF(G8="已包含在土地购买价格中",0,C9+C10)</f>
        <v>29624</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29624</v>
      </c>
      <c r="D10" s="844">
        <f ca="1">IF(B1="",'数据-汇总表'!E6,IF(INDIRECT("'数据-取费表'!c"&amp;$G$1)="住宅",INDIRECT("'数据-取费表'!s"&amp;$G$1),INDIRECT("'数据-取费表'!k"&amp;$G$1)+INDIRECT("'数据-取费表'!s"&amp;$G$1)))</f>
        <v>148.12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148.12</v>
      </c>
      <c r="E19" s="211">
        <f>'数据-取费表'!B31</f>
        <v>200</v>
      </c>
      <c r="F19" s="231"/>
      <c r="G19" s="1855" t="s">
        <v>3427</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6">
      <c r="A25" s="779" t="s">
        <v>1476</v>
      </c>
      <c r="B25" s="215" t="s">
        <v>1587</v>
      </c>
      <c r="C25" s="1127" t="e">
        <f ca="1">ROUND(IF('数据-取费表'!B22&lt;=1,C20*F22*'数据-取费表'!B22/2,C20*(POWER((1+F22),'数据-取费表'!B22/2)-1)),0)</f>
        <v>#DIV/0!</v>
      </c>
      <c r="D25" s="238"/>
      <c r="E25" s="241"/>
      <c r="F25" s="239"/>
      <c r="G25" s="242" t="s">
        <v>1588</v>
      </c>
    </row>
    <row r="26" spans="1:7" s="214" customFormat="1" ht="13">
      <c r="A26" s="779" t="s">
        <v>350</v>
      </c>
      <c r="B26" s="215" t="s">
        <v>1511</v>
      </c>
      <c r="C26" s="238">
        <f ca="1">ROUND(IF('数据-取费表'!B22&lt;=1,F21*F22*'数据-取费表'!B22/2,F21*(POWER((1+F22),'数据-取费表'!B22/2)-1)),4)</f>
        <v>5.9999999999999995E-4</v>
      </c>
      <c r="D26" s="238"/>
      <c r="E26" s="241"/>
      <c r="F26" s="239"/>
      <c r="G26" s="243"/>
    </row>
    <row r="27" spans="1:7" s="214" customFormat="1" ht="27">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631880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562856</v>
      </c>
      <c r="D34" s="217"/>
      <c r="E34" s="220"/>
      <c r="F34" s="257"/>
      <c r="G34" s="219"/>
    </row>
    <row r="35" spans="1:7" ht="13.5" customHeight="1">
      <c r="A35" s="779" t="s">
        <v>351</v>
      </c>
      <c r="B35" s="215" t="s">
        <v>1527</v>
      </c>
      <c r="C35" s="220">
        <f ca="1">ROUND(C34*F35,0)</f>
        <v>28143</v>
      </c>
      <c r="D35" s="220"/>
      <c r="E35" s="220"/>
      <c r="F35" s="259">
        <f>'数据-取费表'!B33</f>
        <v>0.05</v>
      </c>
      <c r="G35" s="219" t="s">
        <v>1528</v>
      </c>
    </row>
    <row r="36" spans="1:7" ht="26">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29624</v>
      </c>
      <c r="D37" s="217">
        <f ca="1">D19</f>
        <v>148.12</v>
      </c>
      <c r="E37" s="249">
        <f>'数据-取费表'!B35</f>
        <v>200</v>
      </c>
      <c r="F37" s="259"/>
      <c r="G37" s="261"/>
    </row>
    <row r="38" spans="1:7" ht="13.5" customHeight="1">
      <c r="A38" s="779" t="s">
        <v>354</v>
      </c>
      <c r="B38" s="215" t="s">
        <v>1533</v>
      </c>
      <c r="C38" s="220">
        <f ca="1">ROUND(C34*F38,0)</f>
        <v>11257</v>
      </c>
      <c r="D38" s="220"/>
      <c r="E38" s="220"/>
      <c r="F38" s="259">
        <f>'数据-取费表'!B36</f>
        <v>0.02</v>
      </c>
      <c r="G38" s="219" t="s">
        <v>1528</v>
      </c>
    </row>
    <row r="39" spans="1:7" s="214" customFormat="1" ht="13.5" customHeight="1">
      <c r="A39" s="255" t="s">
        <v>1534</v>
      </c>
      <c r="B39" s="210" t="s">
        <v>1535</v>
      </c>
      <c r="C39" s="232">
        <f ca="1">ROUND(C33*F20,0)</f>
        <v>12638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19980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19588</v>
      </c>
      <c r="D42" s="238"/>
      <c r="E42" s="238"/>
      <c r="F42" s="239"/>
      <c r="G42" s="3666" t="s">
        <v>1591</v>
      </c>
    </row>
    <row r="43" spans="1:7" ht="13.5" customHeight="1">
      <c r="A43" s="779" t="s">
        <v>347</v>
      </c>
      <c r="B43" s="215" t="s">
        <v>1545</v>
      </c>
      <c r="C43" s="238">
        <f ca="1">ROUND(IF('数据-取费表'!B22&lt;=1,C39*F22*'数据-取费表'!B20/2,C39*(POWER((1+F22),'数据-取费表'!B20/2)-1)),0)</f>
        <v>392</v>
      </c>
      <c r="D43" s="238"/>
      <c r="E43" s="238"/>
      <c r="F43" s="239"/>
      <c r="G43" s="3667"/>
    </row>
    <row r="44" spans="1:7" ht="13.5" customHeight="1">
      <c r="A44" s="779"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96678</v>
      </c>
      <c r="D45" s="235">
        <f ca="1">C47</f>
        <v>3.0000000000000001E-3</v>
      </c>
      <c r="E45" s="236" t="s">
        <v>1539</v>
      </c>
      <c r="F45" s="246">
        <f ca="1">F27</f>
        <v>0.15</v>
      </c>
      <c r="G45" s="247" t="s">
        <v>1548</v>
      </c>
    </row>
    <row r="46" spans="1:7" s="214" customFormat="1" ht="13.5" customHeight="1">
      <c r="A46" s="779" t="s">
        <v>346</v>
      </c>
      <c r="B46" s="248" t="s">
        <v>1549</v>
      </c>
      <c r="C46" s="249">
        <f ca="1">ROUND((C33+C39)*F27,0)</f>
        <v>96678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823784</v>
      </c>
      <c r="D49" s="232"/>
      <c r="E49" s="232"/>
      <c r="F49" s="264"/>
      <c r="G49" s="234" t="s">
        <v>1554</v>
      </c>
    </row>
    <row r="50" spans="1:7" s="258" customFormat="1" ht="13.5">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683741</v>
      </c>
      <c r="D51" s="232"/>
      <c r="E51" s="232"/>
      <c r="F51" s="264"/>
      <c r="G51" s="234" t="s">
        <v>1560</v>
      </c>
    </row>
    <row r="52" spans="1:7" s="208" customFormat="1" ht="16.5" thickBot="1">
      <c r="A52" s="265" t="s">
        <v>1561</v>
      </c>
      <c r="B52" s="266"/>
      <c r="C52" s="267" t="e">
        <f ca="1">C31+C51</f>
        <v>#DIV/0!</v>
      </c>
      <c r="D52" s="266"/>
      <c r="E52" s="266"/>
      <c r="F52" s="266"/>
      <c r="G52" s="268"/>
    </row>
    <row r="55" spans="1:7" ht="15.5">
      <c r="B55" s="270" t="s">
        <v>1562</v>
      </c>
      <c r="C55" s="271"/>
    </row>
    <row r="56" spans="1:7" ht="13">
      <c r="B56" s="273" t="s">
        <v>802</v>
      </c>
      <c r="C56" s="275" t="e">
        <f ca="1">1-C57</f>
        <v>#DIV/0!</v>
      </c>
    </row>
    <row r="57" spans="1:7" ht="13">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727" customWidth="1"/>
    <col min="2" max="2" width="25.7265625" style="780" customWidth="1"/>
    <col min="3" max="3" width="10.36328125" style="822" customWidth="1"/>
    <col min="4" max="4" width="9.90625" style="780" customWidth="1"/>
    <col min="5" max="5" width="9.453125" style="727" customWidth="1"/>
    <col min="6" max="6" width="10.08984375" style="780" customWidth="1"/>
    <col min="7" max="7" width="10.7265625" style="780" customWidth="1"/>
    <col min="8" max="8" width="10" style="780" customWidth="1"/>
    <col min="9" max="11" width="9.453125" style="780" customWidth="1"/>
    <col min="12" max="12" width="9" style="780" customWidth="1"/>
    <col min="13" max="13" width="10.453125" style="780" bestFit="1" customWidth="1"/>
    <col min="14" max="254" width="9" style="780" customWidth="1"/>
    <col min="255" max="16384" width="6.6328125" style="780"/>
  </cols>
  <sheetData>
    <row r="1" spans="1:33" ht="21">
      <c r="A1" s="196" t="s">
        <v>1594</v>
      </c>
      <c r="B1" s="1190"/>
      <c r="C1" s="1191"/>
      <c r="D1" s="1189"/>
      <c r="E1" s="2803"/>
      <c r="F1" s="2803"/>
      <c r="G1" s="2668"/>
      <c r="H1" s="2803"/>
      <c r="I1" s="2803"/>
      <c r="J1" s="2803"/>
      <c r="K1" s="2804">
        <f>MATCH(C1,'数据-取费表'!A6:A16,0)+5</f>
        <v>7</v>
      </c>
    </row>
    <row r="2" spans="1:33" ht="18" customHeight="1">
      <c r="A2" s="201" t="s">
        <v>1462</v>
      </c>
      <c r="B2" s="204">
        <f ca="1">C32</f>
        <v>-3</v>
      </c>
      <c r="C2" s="276" t="s">
        <v>1595</v>
      </c>
      <c r="D2" s="276"/>
      <c r="E2" s="2803"/>
      <c r="F2" s="2803"/>
      <c r="G2" s="2803"/>
      <c r="H2" s="2803"/>
      <c r="I2" s="2803"/>
      <c r="J2" s="2803"/>
      <c r="K2" s="2803"/>
    </row>
    <row r="3" spans="1:33" ht="18" customHeight="1" thickBot="1">
      <c r="A3" s="203" t="s">
        <v>1464</v>
      </c>
      <c r="B3" s="204">
        <f ca="1">ROUND(B2*10000/IF(C1="",'数据-汇总表'!E3,INDIRECT("'数据-取费表'!K"&amp;$K$1)),0)</f>
        <v>-203</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4">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148.12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148.12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148.12</v>
      </c>
      <c r="E20" s="21">
        <f>'数据-取费表'!B28</f>
        <v>200</v>
      </c>
      <c r="F20" s="803"/>
      <c r="G20" s="12"/>
      <c r="H20" s="808"/>
      <c r="I20" s="808"/>
      <c r="J20" s="808"/>
      <c r="K20" s="809"/>
    </row>
    <row r="21" spans="1:33" s="802" customFormat="1" ht="13.5" customHeight="1">
      <c r="A21" s="789" t="s">
        <v>357</v>
      </c>
      <c r="B21" s="812" t="s">
        <v>1628</v>
      </c>
      <c r="C21" s="813">
        <f ca="1">C16+C17+C18</f>
        <v>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5.08984375" style="1467" customWidth="1"/>
    <col min="12" max="12" width="16.36328125" style="258" customWidth="1"/>
    <col min="13" max="13" width="13" style="258" customWidth="1"/>
    <col min="14" max="14" width="13.7265625" style="1383" customWidth="1"/>
    <col min="15" max="15" width="5.08984375" style="1383" customWidth="1"/>
    <col min="16" max="16" width="25.7265625" style="1383" customWidth="1"/>
    <col min="17" max="17" width="13.7265625" style="1383" customWidth="1"/>
    <col min="18" max="18" width="20.453125" style="1383" customWidth="1"/>
    <col min="19" max="19" width="13.269531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0</v>
      </c>
      <c r="D6" s="155" t="s">
        <v>2108</v>
      </c>
      <c r="E6" s="302" t="s">
        <v>696</v>
      </c>
      <c r="F6" s="303">
        <f ca="1">INDIRECT("'数据-取费表'!u"&amp;$G$1)</f>
        <v>0</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3">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5"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4"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3.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6.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26.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40"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6.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6.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6.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2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ht="13">
      <c r="B76" s="342" t="s">
        <v>796</v>
      </c>
      <c r="C76" s="343">
        <f ca="1">INDIRECT("'数据-取费表'!j"&amp;$G$1)</f>
        <v>0</v>
      </c>
      <c r="I76" s="1383"/>
      <c r="J76" s="1383"/>
      <c r="K76" s="1401"/>
      <c r="L76" s="1383"/>
    </row>
    <row r="77" spans="1:18" ht="13.5">
      <c r="B77" s="344" t="s">
        <v>797</v>
      </c>
      <c r="C77" s="345"/>
      <c r="I77" s="1383"/>
      <c r="J77" s="1383"/>
      <c r="K77" s="1401"/>
      <c r="L77" s="1383"/>
    </row>
    <row r="78" spans="1:18" ht="13.5">
      <c r="B78" s="270" t="s">
        <v>798</v>
      </c>
      <c r="C78" s="346"/>
    </row>
    <row r="79" spans="1:18" ht="13">
      <c r="B79" s="340" t="s">
        <v>799</v>
      </c>
      <c r="C79" s="274" t="e">
        <f ca="1">1-C80</f>
        <v>#DIV/0!</v>
      </c>
    </row>
    <row r="80" spans="1:18" ht="13">
      <c r="B80" s="340" t="s">
        <v>800</v>
      </c>
      <c r="C80" s="274" t="e">
        <f ca="1">ROUND(C75/C39,3)</f>
        <v>#DIV/0!</v>
      </c>
    </row>
    <row r="81" spans="2:3" ht="13.5">
      <c r="B81" s="270" t="s">
        <v>801</v>
      </c>
      <c r="C81" s="238"/>
    </row>
    <row r="82" spans="2:3" ht="13">
      <c r="B82" s="273" t="s">
        <v>802</v>
      </c>
      <c r="C82" s="275" t="e">
        <f ca="1">1-C83</f>
        <v>#DIV/0!</v>
      </c>
    </row>
    <row r="83" spans="2:3" ht="1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5"/>
  <cols>
    <col min="1" max="1" width="9.7265625" style="2052" customWidth="1"/>
    <col min="2" max="2" width="22.453125" style="2143" customWidth="1"/>
    <col min="3" max="3" width="12" style="1997"/>
    <col min="4" max="4" width="14.90625" style="1997" customWidth="1"/>
    <col min="5" max="5" width="14.6328125" style="1997" customWidth="1"/>
    <col min="6" max="8" width="12" style="1997"/>
    <col min="9" max="9" width="12.26953125" style="1997" bestFit="1" customWidth="1"/>
    <col min="10" max="10" width="12" style="1997"/>
    <col min="11" max="11" width="8.08984375" style="2048" customWidth="1"/>
    <col min="12" max="12" width="19.453125" style="1997" customWidth="1"/>
    <col min="13" max="13" width="8.453125" style="1997" customWidth="1"/>
    <col min="14" max="14" width="9.7265625" style="1997" customWidth="1"/>
    <col min="15" max="25" width="12" style="1997"/>
    <col min="26" max="26" width="9.36328125" style="2052" customWidth="1"/>
    <col min="27" max="32" width="9.36328125" style="1120" customWidth="1"/>
    <col min="33" max="36" width="9.36328125" style="2052" customWidth="1"/>
    <col min="37" max="38" width="9.36328125" style="1997" customWidth="1"/>
    <col min="39" max="16384" width="12" style="1997"/>
  </cols>
  <sheetData>
    <row r="1" spans="1:36" ht="30">
      <c r="A1" s="196" t="s">
        <v>1926</v>
      </c>
      <c r="B1" s="197"/>
      <c r="C1" s="201" t="s">
        <v>1927</v>
      </c>
      <c r="D1" s="342">
        <f>SUM(D33:D34,D37:D42)</f>
        <v>148.12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5">
      <c r="A2" s="201" t="s">
        <v>1934</v>
      </c>
      <c r="B2" s="204" t="e">
        <f>C30</f>
        <v>#DIV/0!</v>
      </c>
      <c r="C2" s="1998" t="s">
        <v>1935</v>
      </c>
      <c r="D2" s="1999" t="s">
        <v>1936</v>
      </c>
      <c r="E2" s="3419" t="s">
        <v>21</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t="e">
        <f>ROUND(U2*T2,0)</f>
        <v>#DIV/0!</v>
      </c>
      <c r="X2" s="1215"/>
      <c r="Y2" s="1215"/>
      <c r="Z2" s="1215"/>
      <c r="AA2" s="1215"/>
      <c r="AB2" s="1215"/>
      <c r="AC2" s="1216"/>
      <c r="AD2" s="1217"/>
      <c r="AE2" s="1217"/>
      <c r="AF2" s="1217"/>
      <c r="AG2" s="1217"/>
      <c r="AH2" s="1217"/>
      <c r="AI2" s="1217"/>
      <c r="AJ2" s="1218"/>
    </row>
    <row r="3" spans="1:36" ht="15.5">
      <c r="A3" s="203" t="s">
        <v>1940</v>
      </c>
      <c r="B3" s="204" t="e">
        <f>ROUND(B2*10000/D1,0)</f>
        <v>#DIV/0!</v>
      </c>
      <c r="C3" s="1998" t="s">
        <v>1941</v>
      </c>
      <c r="D3" s="1999" t="s">
        <v>1942</v>
      </c>
      <c r="E3" s="3417" t="s">
        <v>3519</v>
      </c>
      <c r="F3" s="2003" t="s">
        <v>3416</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5">
      <c r="A4" s="3681"/>
      <c r="B4" s="3682"/>
      <c r="C4" s="3682"/>
      <c r="D4" s="3683"/>
      <c r="E4" s="3683"/>
      <c r="F4" s="3683"/>
      <c r="G4" s="3683"/>
      <c r="H4" s="3683"/>
      <c r="I4" s="3683"/>
      <c r="J4" s="368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6"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6"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6.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2.5</v>
      </c>
      <c r="AA7" s="1215"/>
      <c r="AB7" s="1215"/>
      <c r="AC7" s="1216"/>
      <c r="AD7" s="1217"/>
      <c r="AE7" s="1217"/>
      <c r="AF7" s="1217"/>
      <c r="AG7" s="1217"/>
      <c r="AH7" s="1217"/>
      <c r="AI7" s="1217"/>
      <c r="AJ7" s="1218"/>
    </row>
    <row r="8" spans="1:36" ht="2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678" t="s">
        <v>1960</v>
      </c>
      <c r="X8" s="367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680"/>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68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6"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7"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26.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26">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6"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ht="26">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4.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
      <c r="A20" s="3685" t="s">
        <v>3253</v>
      </c>
      <c r="B20" s="167" t="s">
        <v>1994</v>
      </c>
      <c r="C20" s="3322" t="e">
        <f>ROUND(IF(F21="与级别开发程度一致",0,(G21-E21)/C21),0)</f>
        <v>#DIV/0!</v>
      </c>
      <c r="D20" s="3338" t="s">
        <v>1998</v>
      </c>
      <c r="E20" s="3339"/>
      <c r="F20" s="3691" t="s">
        <v>1995</v>
      </c>
      <c r="G20" s="3692"/>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5.5" thickBot="1">
      <c r="A21" s="368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3520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4.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5.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45716</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6.5" thickBot="1">
      <c r="A24" s="2057" t="s">
        <v>365</v>
      </c>
      <c r="B24" s="2058" t="s">
        <v>2006</v>
      </c>
      <c r="C24" s="763">
        <f>ROUND(POWER(1+G24,J24-I24)*(POWER(1+G24,I24)-1)/(POWER(1+G24,J24)-1),4)</f>
        <v>0.93440000000000001</v>
      </c>
      <c r="D24" s="2059" t="s">
        <v>2007</v>
      </c>
      <c r="E24" s="1334">
        <f>存贷款利率!E27/100</f>
        <v>4.3499999999999997E-2</v>
      </c>
      <c r="F24" s="2059" t="s">
        <v>1999</v>
      </c>
      <c r="G24" s="767">
        <f>SUMIF(M30:Q30,E2,M33:Q33)</f>
        <v>5.5E-2</v>
      </c>
      <c r="H24" s="2059" t="s">
        <v>2008</v>
      </c>
      <c r="I24" s="768">
        <f>SUMIF('数据-取费表'!C6:C15,E2,'数据-取费表'!F6:F15)/COUNTIF('数据-取费表'!C6:C15,E2)</f>
        <v>38.130000000000003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4">
      <c r="A25" s="2064" t="s">
        <v>366</v>
      </c>
      <c r="B25" s="2065" t="s">
        <v>3522</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5">
      <c r="A26" s="1954" t="s">
        <v>2014</v>
      </c>
      <c r="B26" s="2069" t="s">
        <v>2015</v>
      </c>
      <c r="C26" s="3342" t="s">
        <v>3255</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4.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4.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4.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4.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
      <c r="A33" s="2095"/>
      <c r="B33" s="2096" t="s">
        <v>2030</v>
      </c>
      <c r="C33" s="175" t="e">
        <f>ROUND(C5*C22*C23*C24*C25*C28,0)</f>
        <v>#DIV/0!</v>
      </c>
      <c r="D33" s="2097">
        <f>'数据-基础表'!B3</f>
        <v>148.12</v>
      </c>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6.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ht="13">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6.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6.5" thickBot="1">
      <c r="A37" s="368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ht="13">
      <c r="A38" s="3690"/>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90"/>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ht="13">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ht="13">
      <c r="A41" s="2114"/>
      <c r="B41" s="2040" t="s">
        <v>2040</v>
      </c>
      <c r="C41" s="171" t="e">
        <f>ROUND(D5*C22*C23*C44*C28*F41,0)</f>
        <v>#DIV/0!</v>
      </c>
      <c r="D41" s="2097"/>
      <c r="E41" s="171" t="e">
        <f t="shared" si="5"/>
        <v>#DIV/0!</v>
      </c>
      <c r="F41" s="175">
        <f>SUMIF(修正!A57:A68,G2,修正!F57:F68)</f>
        <v>0</v>
      </c>
      <c r="G41" s="171" t="e">
        <f>ROUND(IF(E2="工业",C41*$M$42,C41*$M$41),0)</f>
        <v>#DIV/0!</v>
      </c>
      <c r="H41" s="171">
        <f t="shared" si="6"/>
        <v>0</v>
      </c>
      <c r="I41" s="171" t="e">
        <f t="shared" si="7"/>
        <v>#DIV/0!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5"/>
        <v>#DIV/0!</v>
      </c>
      <c r="F42" s="766">
        <f>SUMIF(修正!A57:A68,G2,修正!G57:G68)</f>
        <v>0</v>
      </c>
      <c r="G42" s="187" t="e">
        <f>ROUND(IF(E2="工业",C42*$M$42,C42*$M$41),0)</f>
        <v>#DIV/0!</v>
      </c>
      <c r="H42" s="187">
        <f t="shared" si="6"/>
        <v>0</v>
      </c>
      <c r="I42" s="187" t="e">
        <f t="shared" si="7"/>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13">
      <c r="A44" s="1119"/>
      <c r="B44" s="2153" t="s">
        <v>2121</v>
      </c>
      <c r="C44" s="342">
        <f>ROUND(POWER(1+E44,H44-G44)*(POWER(1+E44,G44)-1)/(POWER(1+E44,H44)-1),4)</f>
        <v>0.93440000000000001</v>
      </c>
      <c r="D44" s="171" t="s">
        <v>1999</v>
      </c>
      <c r="E44" s="2152">
        <f>G24</f>
        <v>5.5E-2</v>
      </c>
      <c r="F44" s="171" t="s">
        <v>2008</v>
      </c>
      <c r="G44" s="183">
        <f>项目基本情况!E15</f>
        <v>38.130000000000003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4.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6">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7.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50">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9">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9">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6">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6">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6">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6">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4">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6">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7.5">
      <c r="A61" s="2129" t="s">
        <v>2064</v>
      </c>
      <c r="B61" s="2132" t="str">
        <f>估价对象房地状况!C17</f>
        <v>估价对象位于XX商圈，周边办公楼项目较多，入驻率高，办公集聚程度较好</v>
      </c>
      <c r="C61" s="2043" t="s">
        <v>3424</v>
      </c>
      <c r="D61" s="1064">
        <f t="shared" ref="D61:D69" si="14">SUMIF($J$60:$N$60,C61,J61:N61)</f>
        <v>0</v>
      </c>
      <c r="E61" s="743">
        <f>ROUND(SUM(D61:D69),4)</f>
        <v>0</v>
      </c>
      <c r="F61" s="1813">
        <f>IF(E2="办公",SUMIF(L1:L12,G2,N1:N12),"——")</f>
        <v>0</v>
      </c>
      <c r="G61" s="1062">
        <f>H61</f>
        <v>0</v>
      </c>
      <c r="H61" s="1065">
        <f t="shared" ref="H61:H69" si="15">IFERROR(ROUNDDOWN($F$61*I61/2,4),"——")</f>
        <v>0</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50">
      <c r="A62" s="2129" t="s">
        <v>2053</v>
      </c>
      <c r="B62" s="2133" t="str">
        <f>估价对象房地状况!C18</f>
        <v>估价对象周边道路状况、公共交通通达情况、停车便捷程度，综合评价交通便捷度较好</v>
      </c>
      <c r="C62" s="2043" t="s">
        <v>3424</v>
      </c>
      <c r="D62" s="1064">
        <f t="shared" si="14"/>
        <v>0</v>
      </c>
      <c r="E62" s="744"/>
      <c r="F62" s="1813"/>
      <c r="G62" s="1062">
        <f t="shared" ref="G62:G69" si="19">H62</f>
        <v>0</v>
      </c>
      <c r="H62" s="1065">
        <f t="shared" si="15"/>
        <v>0</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9">
      <c r="A63" s="3366" t="s">
        <v>3267</v>
      </c>
      <c r="B63" s="2133">
        <f>估价对象房地状况!C19</f>
        <v>0</v>
      </c>
      <c r="C63" s="2043" t="s">
        <v>3424</v>
      </c>
      <c r="D63" s="1064">
        <f t="shared" si="14"/>
        <v>0</v>
      </c>
      <c r="E63" s="744"/>
      <c r="F63" s="1813"/>
      <c r="G63" s="1062">
        <f t="shared" si="19"/>
        <v>0</v>
      </c>
      <c r="H63" s="1065">
        <f t="shared" si="15"/>
        <v>0</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9">
      <c r="A64" s="2129" t="s">
        <v>2054</v>
      </c>
      <c r="B64" s="2134" t="s">
        <v>2055</v>
      </c>
      <c r="C64" s="2043" t="s">
        <v>3424</v>
      </c>
      <c r="D64" s="1064">
        <f t="shared" si="14"/>
        <v>0</v>
      </c>
      <c r="E64" s="744"/>
      <c r="F64" s="1813"/>
      <c r="G64" s="1062">
        <f t="shared" si="19"/>
        <v>0</v>
      </c>
      <c r="H64" s="1065">
        <f t="shared" si="15"/>
        <v>0</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6">
      <c r="A65" s="2129" t="s">
        <v>2056</v>
      </c>
      <c r="B65" s="2133">
        <f>估价对象房地状况!C24</f>
        <v>0</v>
      </c>
      <c r="C65" s="2043" t="s">
        <v>3425</v>
      </c>
      <c r="D65" s="1064">
        <f t="shared" si="14"/>
        <v>0</v>
      </c>
      <c r="E65" s="744"/>
      <c r="F65" s="1813"/>
      <c r="G65" s="1062">
        <f t="shared" si="19"/>
        <v>0</v>
      </c>
      <c r="H65" s="1065">
        <f t="shared" si="15"/>
        <v>0</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6">
      <c r="A66" s="2129" t="s">
        <v>2057</v>
      </c>
      <c r="B66" s="2135" t="s">
        <v>2058</v>
      </c>
      <c r="C66" s="2043" t="s">
        <v>3424</v>
      </c>
      <c r="D66" s="1064">
        <f t="shared" si="14"/>
        <v>0</v>
      </c>
      <c r="E66" s="744"/>
      <c r="F66" s="1813"/>
      <c r="G66" s="1062">
        <f t="shared" si="19"/>
        <v>0</v>
      </c>
      <c r="H66" s="1065">
        <f t="shared" si="15"/>
        <v>0</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6">
      <c r="A67" s="2129" t="s">
        <v>2059</v>
      </c>
      <c r="B67" s="1325" t="str">
        <f>估价对象房地状况!C21</f>
        <v>估价对象所在区域公共配套设施齐备情况</v>
      </c>
      <c r="C67" s="2043" t="s">
        <v>3424</v>
      </c>
      <c r="D67" s="1064">
        <f t="shared" si="14"/>
        <v>0</v>
      </c>
      <c r="E67" s="744"/>
      <c r="F67" s="1813"/>
      <c r="G67" s="1062">
        <f t="shared" si="19"/>
        <v>0</v>
      </c>
      <c r="H67" s="1065">
        <f t="shared" si="15"/>
        <v>0</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6">
      <c r="A68" s="2129" t="s">
        <v>2060</v>
      </c>
      <c r="B68" s="1325" t="str">
        <f>估价对象房地状况!C22</f>
        <v>估价对象所在区域基础设施水平</v>
      </c>
      <c r="C68" s="2043" t="s">
        <v>3425</v>
      </c>
      <c r="D68" s="1064">
        <f t="shared" si="14"/>
        <v>0</v>
      </c>
      <c r="E68" s="744"/>
      <c r="F68" s="1813"/>
      <c r="G68" s="1062">
        <f t="shared" si="19"/>
        <v>0</v>
      </c>
      <c r="H68" s="1065">
        <f t="shared" si="15"/>
        <v>0</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5" thickBot="1">
      <c r="A69" s="2137" t="s">
        <v>2061</v>
      </c>
      <c r="B69" s="2139" t="str">
        <f>估价对象房地状况!C20</f>
        <v>区域自然环境：；人文环境；综合评价环境状况一般</v>
      </c>
      <c r="C69" s="2043" t="s">
        <v>3424</v>
      </c>
      <c r="D69" s="1064">
        <f t="shared" si="14"/>
        <v>0</v>
      </c>
      <c r="E69" s="745"/>
      <c r="F69" s="1813"/>
      <c r="G69" s="1062">
        <f t="shared" si="19"/>
        <v>0</v>
      </c>
      <c r="H69" s="1065">
        <f t="shared" si="15"/>
        <v>0</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4">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6">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0">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50">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9">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6">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6">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6">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6">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6.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4">
      <c r="A81" s="2125" t="s">
        <v>2069</v>
      </c>
      <c r="B81" s="2126">
        <f>1+E83</f>
        <v>1</v>
      </c>
      <c r="C81" s="740"/>
      <c r="D81" s="740"/>
      <c r="E81" s="741"/>
      <c r="F81" s="2128"/>
      <c r="G81" s="3"/>
      <c r="H81" s="3"/>
      <c r="I81" s="3"/>
      <c r="J81" s="4"/>
      <c r="K81" s="4"/>
      <c r="L81" s="4"/>
      <c r="M81" s="4"/>
      <c r="N81" s="4"/>
      <c r="Z81" s="1997"/>
      <c r="AA81" s="2052"/>
      <c r="AG81" s="1120"/>
      <c r="AK81" s="2052"/>
    </row>
    <row r="82" spans="1:37" ht="26">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7.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50">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9">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6">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6">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6">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8"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4">
      <c r="A91" s="3374" t="s">
        <v>2611</v>
      </c>
      <c r="B91" s="3375">
        <f>1+E93</f>
        <v>1</v>
      </c>
      <c r="C91" s="3368"/>
      <c r="D91" s="3369"/>
      <c r="E91" s="1813"/>
      <c r="F91" s="1813"/>
      <c r="G91" s="3370"/>
      <c r="H91" s="3371"/>
      <c r="I91" s="3372"/>
      <c r="J91" s="3373"/>
      <c r="K91" s="3373"/>
      <c r="L91" s="3373"/>
      <c r="M91" s="3373"/>
      <c r="N91" s="3373"/>
    </row>
    <row r="92" spans="1:37" ht="26">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6">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50">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9">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9">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6">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6">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6">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6">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ht="13">
      <c r="A103" s="3687" t="s">
        <v>3292</v>
      </c>
      <c r="B103" s="3687"/>
      <c r="C103" s="3687"/>
      <c r="D103" s="3687"/>
      <c r="E103" s="3687"/>
      <c r="F103" s="3687"/>
      <c r="G103" s="3687"/>
      <c r="H103" s="3687"/>
      <c r="I103" s="3687"/>
      <c r="J103" s="3687"/>
      <c r="K103" s="3387"/>
      <c r="L103" s="3387"/>
      <c r="M103" s="3387"/>
      <c r="N103" s="3387"/>
    </row>
    <row r="104" spans="1:14" ht="13">
      <c r="A104" s="3688" t="s">
        <v>3293</v>
      </c>
      <c r="B104" s="3688" t="s">
        <v>3294</v>
      </c>
      <c r="C104" s="3388" t="s">
        <v>3295</v>
      </c>
      <c r="D104" s="3389"/>
      <c r="E104" s="3389"/>
      <c r="F104" s="3389"/>
      <c r="G104" s="3389"/>
      <c r="H104" s="3389"/>
      <c r="I104" s="3389"/>
      <c r="J104" s="3390"/>
      <c r="K104" s="3391"/>
      <c r="L104" s="3391"/>
      <c r="M104" s="3391"/>
      <c r="N104" s="3391"/>
    </row>
    <row r="105" spans="1:14" ht="13">
      <c r="A105" s="3688"/>
      <c r="B105" s="3688"/>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4"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ht="13">
      <c r="A111" s="3675"/>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676"/>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ht="13">
      <c r="A113" s="3677" t="s">
        <v>3309</v>
      </c>
      <c r="B113" s="3677"/>
      <c r="C113" s="3677"/>
      <c r="D113" s="3677"/>
      <c r="E113" s="3677"/>
      <c r="F113" s="3677"/>
      <c r="G113" s="3677"/>
      <c r="H113" s="3677"/>
      <c r="I113" s="3677"/>
      <c r="J113" s="367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 thickBot="1">
      <c r="A115" s="3395"/>
      <c r="B115" s="3395"/>
      <c r="C115" s="3395"/>
      <c r="D115" s="3395"/>
      <c r="E115" s="3395"/>
      <c r="F115" s="3395"/>
      <c r="G115" s="3395"/>
      <c r="H115" s="3395"/>
      <c r="I115" s="3395"/>
      <c r="J115" s="3395"/>
      <c r="K115" s="3354"/>
      <c r="L115" s="3395"/>
      <c r="M115" s="3395"/>
      <c r="N115" s="3395"/>
    </row>
    <row r="116" spans="1:14" ht="26" thickBot="1">
      <c r="A116" s="3396" t="s">
        <v>3310</v>
      </c>
      <c r="B116" s="3413">
        <f>G3</f>
        <v>2.5</v>
      </c>
      <c r="C116" s="3397" t="s">
        <v>3311</v>
      </c>
      <c r="D116" s="3398">
        <f>SUMPRODUCT((A118:A122=F116)*(B117:M117=H116)*B118:M122)</f>
        <v>0</v>
      </c>
      <c r="E116" s="1999" t="s">
        <v>3312</v>
      </c>
      <c r="F116" s="3399" t="str">
        <f>E2</f>
        <v>办公</v>
      </c>
      <c r="G116" s="1999" t="s">
        <v>3313</v>
      </c>
      <c r="H116" s="3399">
        <f>G2</f>
        <v>0</v>
      </c>
      <c r="I116" s="1999"/>
      <c r="J116" s="3400"/>
      <c r="K116" s="3400"/>
      <c r="L116" s="3400"/>
      <c r="M116" s="3400"/>
      <c r="N116" s="3395"/>
    </row>
    <row r="117" spans="1:14" ht="13">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ht="13">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8">I118</f>
        <v>0.80359999999999998</v>
      </c>
      <c r="K118" s="3385">
        <f t="shared" si="38"/>
        <v>0.80359999999999998</v>
      </c>
      <c r="L118" s="3385">
        <f t="shared" si="38"/>
        <v>0.80359999999999998</v>
      </c>
      <c r="M118" s="3408">
        <f t="shared" si="38"/>
        <v>0.80359999999999998</v>
      </c>
      <c r="N118" s="3395"/>
    </row>
    <row r="119" spans="1:14" ht="13">
      <c r="A119" s="3407" t="s">
        <v>3327</v>
      </c>
      <c r="B119" s="3385">
        <f>ROUND(0.993-0.0112*B116,4)</f>
        <v>0.96499999999999997</v>
      </c>
      <c r="C119" s="3385">
        <f>B119</f>
        <v>0.96499999999999997</v>
      </c>
      <c r="D119" s="3385">
        <f>ROUND(0.9415-0.0142*B116,4)</f>
        <v>0.90600000000000003</v>
      </c>
      <c r="E119" s="3385">
        <f t="shared" ref="E119:H120" si="39">D119</f>
        <v>0.90600000000000003</v>
      </c>
      <c r="F119" s="3385">
        <f t="shared" si="39"/>
        <v>0.90600000000000003</v>
      </c>
      <c r="G119" s="3385">
        <f t="shared" si="39"/>
        <v>0.90600000000000003</v>
      </c>
      <c r="H119" s="3385">
        <f t="shared" si="39"/>
        <v>0.90600000000000003</v>
      </c>
      <c r="I119" s="3385">
        <f>ROUND(0.838-0.0182*B116,4)</f>
        <v>0.79249999999999998</v>
      </c>
      <c r="J119" s="3385">
        <f t="shared" si="38"/>
        <v>0.79249999999999998</v>
      </c>
      <c r="K119" s="3385">
        <f t="shared" si="38"/>
        <v>0.79249999999999998</v>
      </c>
      <c r="L119" s="3385">
        <f t="shared" si="38"/>
        <v>0.79249999999999998</v>
      </c>
      <c r="M119" s="3408">
        <f t="shared" si="38"/>
        <v>0.79249999999999998</v>
      </c>
      <c r="N119" s="3395"/>
    </row>
    <row r="120" spans="1:14" ht="13">
      <c r="A120" s="3407" t="s">
        <v>3328</v>
      </c>
      <c r="B120" s="3385">
        <f>ROUND(0.9448-0.0115*B116,4)</f>
        <v>0.91610000000000003</v>
      </c>
      <c r="C120" s="3385">
        <f>B120</f>
        <v>0.91610000000000003</v>
      </c>
      <c r="D120" s="3385">
        <f>ROUND(0.937-0.0145*B116,4)</f>
        <v>0.90080000000000005</v>
      </c>
      <c r="E120" s="3385">
        <f t="shared" si="39"/>
        <v>0.90080000000000005</v>
      </c>
      <c r="F120" s="3385">
        <f t="shared" si="39"/>
        <v>0.90080000000000005</v>
      </c>
      <c r="G120" s="3385">
        <f t="shared" si="39"/>
        <v>0.90080000000000005</v>
      </c>
      <c r="H120" s="3385">
        <f t="shared" si="39"/>
        <v>0.90080000000000005</v>
      </c>
      <c r="I120" s="3385">
        <f>ROUND(0.7965-0.0185*B116,4)</f>
        <v>0.75029999999999997</v>
      </c>
      <c r="J120" s="3385">
        <f t="shared" si="38"/>
        <v>0.75029999999999997</v>
      </c>
      <c r="K120" s="3385">
        <f t="shared" si="38"/>
        <v>0.75029999999999997</v>
      </c>
      <c r="L120" s="3385">
        <f t="shared" si="38"/>
        <v>0.75029999999999997</v>
      </c>
      <c r="M120" s="3408">
        <f t="shared" si="38"/>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8"/>
        <v>0.54300000000000004</v>
      </c>
      <c r="K121" s="3410">
        <f t="shared" si="38"/>
        <v>0.54300000000000004</v>
      </c>
      <c r="L121" s="3410">
        <f t="shared" si="38"/>
        <v>0.54300000000000004</v>
      </c>
      <c r="M121" s="3411">
        <f t="shared" si="38"/>
        <v>0.54300000000000004</v>
      </c>
      <c r="N121" s="3395"/>
    </row>
    <row r="122" spans="1:14" ht="13">
      <c r="A122" s="3412" t="s">
        <v>2611</v>
      </c>
      <c r="B122" s="3385">
        <f>ROUND(0.9404-0.0106*B116,4)</f>
        <v>0.91390000000000005</v>
      </c>
      <c r="C122" s="3385">
        <f>B122</f>
        <v>0.91390000000000005</v>
      </c>
      <c r="D122" s="3385">
        <f>ROUND(0.8955-0.0135*B116,4)</f>
        <v>0.86180000000000001</v>
      </c>
      <c r="E122" s="3385">
        <f t="shared" ref="E122:H122" si="40">D122</f>
        <v>0.86180000000000001</v>
      </c>
      <c r="F122" s="3385">
        <f t="shared" si="40"/>
        <v>0.86180000000000001</v>
      </c>
      <c r="G122" s="3385">
        <f t="shared" si="40"/>
        <v>0.86180000000000001</v>
      </c>
      <c r="H122" s="3385">
        <f t="shared" si="40"/>
        <v>0.86180000000000001</v>
      </c>
      <c r="I122" s="3385">
        <f>ROUND(0.7632-0.0166*B116,4)</f>
        <v>0.72170000000000001</v>
      </c>
      <c r="J122" s="3385">
        <f t="shared" si="38"/>
        <v>0.72170000000000001</v>
      </c>
      <c r="K122" s="3385">
        <f t="shared" si="38"/>
        <v>0.72170000000000001</v>
      </c>
      <c r="L122" s="3385">
        <f t="shared" si="38"/>
        <v>0.72170000000000001</v>
      </c>
      <c r="M122" s="3408">
        <f t="shared" si="38"/>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90" zoomScaleNormal="70" zoomScaleSheetLayoutView="90" workbookViewId="0">
      <selection activeCell="I7" sqref="I7"/>
    </sheetView>
  </sheetViews>
  <sheetFormatPr defaultColWidth="9" defaultRowHeight="14"/>
  <cols>
    <col min="1" max="1" width="10.453125" style="357" customWidth="1"/>
    <col min="2" max="2" width="15.7265625" style="357" customWidth="1"/>
    <col min="3" max="3" width="15.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7.1796875" style="357" customWidth="1"/>
    <col min="10" max="10" width="12.26953125" style="357" customWidth="1"/>
    <col min="11" max="11" width="12.26953125" style="444" customWidth="1"/>
    <col min="12" max="12" width="12.26953125" style="445" customWidth="1"/>
    <col min="13" max="15" width="12.26953125" style="357" customWidth="1"/>
    <col min="16" max="16" width="4.7265625" style="90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389.24450000000002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26279</v>
      </c>
      <c r="C3" s="354" t="s">
        <v>1768</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c r="A4" s="355" t="s">
        <v>1769</v>
      </c>
      <c r="B4" s="356"/>
      <c r="C4" s="3711" t="s">
        <v>1770</v>
      </c>
      <c r="D4" s="3712"/>
      <c r="E4" s="3713" t="s">
        <v>1771</v>
      </c>
      <c r="F4" s="3714"/>
      <c r="G4" s="3711" t="s">
        <v>1772</v>
      </c>
      <c r="H4" s="3712"/>
      <c r="I4" s="3711" t="s">
        <v>1773</v>
      </c>
      <c r="J4" s="3712"/>
      <c r="K4" s="559" t="s">
        <v>1774</v>
      </c>
      <c r="L4" s="2712"/>
      <c r="M4" s="2713"/>
      <c r="N4" s="2713"/>
      <c r="O4" s="2713"/>
      <c r="P4" s="3715" t="s">
        <v>1775</v>
      </c>
      <c r="Q4" s="3716"/>
      <c r="R4" s="3721" t="s">
        <v>1771</v>
      </c>
      <c r="S4" s="3722"/>
      <c r="T4" s="3721" t="s">
        <v>1772</v>
      </c>
      <c r="U4" s="3722"/>
      <c r="V4" s="3727" t="s">
        <v>1773</v>
      </c>
      <c r="W4" s="3727"/>
      <c r="X4" s="1957"/>
      <c r="Y4" s="3721" t="s">
        <v>1775</v>
      </c>
      <c r="Z4" s="3722"/>
      <c r="AA4" s="3739" t="s">
        <v>1771</v>
      </c>
      <c r="AB4" s="3739" t="s">
        <v>1772</v>
      </c>
      <c r="AC4" s="3708" t="s">
        <v>1773</v>
      </c>
    </row>
    <row r="5" spans="1:29">
      <c r="A5" s="358"/>
      <c r="B5" s="359"/>
      <c r="C5" s="3731" t="s">
        <v>3530</v>
      </c>
      <c r="D5" s="3732"/>
      <c r="E5" s="3742" t="s">
        <v>3529</v>
      </c>
      <c r="F5" s="3743"/>
      <c r="G5" s="3731" t="s">
        <v>3531</v>
      </c>
      <c r="H5" s="3732"/>
      <c r="I5" s="3731" t="s">
        <v>3529</v>
      </c>
      <c r="J5" s="3732"/>
      <c r="K5" s="559"/>
      <c r="L5" s="2712"/>
      <c r="M5" s="2713"/>
      <c r="N5" s="2713"/>
      <c r="O5" s="2713"/>
      <c r="P5" s="3717"/>
      <c r="Q5" s="3718"/>
      <c r="R5" s="3723"/>
      <c r="S5" s="3724"/>
      <c r="T5" s="3723"/>
      <c r="U5" s="3724"/>
      <c r="V5" s="3728"/>
      <c r="W5" s="3728"/>
      <c r="X5" s="1354"/>
      <c r="Y5" s="3723"/>
      <c r="Z5" s="3724"/>
      <c r="AA5" s="3740"/>
      <c r="AB5" s="3740"/>
      <c r="AC5" s="3709"/>
    </row>
    <row r="6" spans="1:29" ht="15" thickBot="1">
      <c r="A6" s="360"/>
      <c r="B6" s="361"/>
      <c r="C6" s="3729" t="s">
        <v>1677</v>
      </c>
      <c r="D6" s="3730"/>
      <c r="E6" s="3737" t="s">
        <v>1677</v>
      </c>
      <c r="F6" s="3738"/>
      <c r="G6" s="3729" t="s">
        <v>1677</v>
      </c>
      <c r="H6" s="3730"/>
      <c r="I6" s="3729" t="s">
        <v>1677</v>
      </c>
      <c r="J6" s="3730"/>
      <c r="K6" s="559" t="s">
        <v>1678</v>
      </c>
      <c r="L6" s="2712"/>
      <c r="M6" s="2713"/>
      <c r="N6" s="2713"/>
      <c r="O6" s="2713"/>
      <c r="P6" s="3719"/>
      <c r="Q6" s="3720"/>
      <c r="R6" s="3723"/>
      <c r="S6" s="3724"/>
      <c r="T6" s="3725"/>
      <c r="U6" s="3726"/>
      <c r="V6" s="3728"/>
      <c r="W6" s="3728"/>
      <c r="X6" s="1354"/>
      <c r="Y6" s="3725"/>
      <c r="Z6" s="3726"/>
      <c r="AA6" s="3741"/>
      <c r="AB6" s="3741"/>
      <c r="AC6" s="3710"/>
    </row>
    <row r="7" spans="1:29" s="108" customFormat="1" ht="14.5" thickBot="1">
      <c r="A7" s="362" t="s">
        <v>1679</v>
      </c>
      <c r="B7" s="363"/>
      <c r="C7" s="364">
        <f>'数据-取费表'!B2</f>
        <v>45716</v>
      </c>
      <c r="D7" s="365">
        <v>100</v>
      </c>
      <c r="E7" s="366">
        <v>45658</v>
      </c>
      <c r="F7" s="367">
        <f>SUMIF(59:59,YEAR(E7)&amp;"-"&amp;MONTH(E7),60:60)</f>
        <v>100</v>
      </c>
      <c r="G7" s="366">
        <v>45658</v>
      </c>
      <c r="H7" s="365">
        <f>SUMIF(59:59,YEAR(G7)&amp;"-"&amp;MONTH(G7),60:60)</f>
        <v>100</v>
      </c>
      <c r="I7" s="366">
        <v>45627</v>
      </c>
      <c r="J7" s="365">
        <f>SUMIF(59:59,YEAR(I7)&amp;"-"&amp;MONTH(I7),60:60)</f>
        <v>100</v>
      </c>
      <c r="K7" s="560"/>
      <c r="L7" s="2714"/>
      <c r="M7" s="2715"/>
      <c r="N7" s="2715"/>
      <c r="O7" s="2715"/>
      <c r="P7" s="3733" t="s">
        <v>1680</v>
      </c>
      <c r="Q7" s="3736"/>
      <c r="R7" s="700" t="s">
        <v>14</v>
      </c>
      <c r="S7" s="701">
        <f t="shared" ref="S7:S15" si="0">F7</f>
        <v>100</v>
      </c>
      <c r="T7" s="700" t="s">
        <v>14</v>
      </c>
      <c r="U7" s="701">
        <f t="shared" ref="U7:U15" si="1">H7</f>
        <v>100</v>
      </c>
      <c r="V7" s="700" t="s">
        <v>14</v>
      </c>
      <c r="W7" s="701">
        <f t="shared" ref="W7:W15" si="2">J7</f>
        <v>100</v>
      </c>
      <c r="X7" s="702"/>
      <c r="Y7" s="3735" t="s">
        <v>1680</v>
      </c>
      <c r="Z7" s="3734"/>
      <c r="AA7" s="703">
        <f>D7/F7</f>
        <v>1</v>
      </c>
      <c r="AB7" s="703">
        <f>D7/H7</f>
        <v>1</v>
      </c>
      <c r="AC7" s="1958">
        <f>D7/J7</f>
        <v>1</v>
      </c>
    </row>
    <row r="8" spans="1:29" s="108" customFormat="1" ht="14.5" thickBot="1">
      <c r="A8" s="362" t="s">
        <v>1681</v>
      </c>
      <c r="B8" s="363"/>
      <c r="C8" s="368" t="s">
        <v>3432</v>
      </c>
      <c r="D8" s="365">
        <v>100</v>
      </c>
      <c r="E8" s="368" t="s">
        <v>3432</v>
      </c>
      <c r="F8" s="367">
        <f>SUMIF(62:62,E8,63:63)-SUMIF(62:62,C8,63:63)+100</f>
        <v>100</v>
      </c>
      <c r="G8" s="368" t="s">
        <v>3432</v>
      </c>
      <c r="H8" s="365">
        <f>SUMIF(62:62,G8,63:63)-SUMIF(62:62,C8,63:63)+100</f>
        <v>100</v>
      </c>
      <c r="I8" s="368" t="s">
        <v>3432</v>
      </c>
      <c r="J8" s="365">
        <f>SUMIF(62:62,I8,63:63)-SUMIF(62:62,C8,63:63)+100</f>
        <v>100</v>
      </c>
      <c r="K8" s="560"/>
      <c r="L8" s="2714"/>
      <c r="M8" s="2715"/>
      <c r="N8" s="2715"/>
      <c r="O8" s="2715"/>
      <c r="P8" s="3733" t="s">
        <v>1683</v>
      </c>
      <c r="Q8" s="3734"/>
      <c r="R8" s="700" t="s">
        <v>14</v>
      </c>
      <c r="S8" s="701">
        <f t="shared" si="0"/>
        <v>100</v>
      </c>
      <c r="T8" s="700" t="s">
        <v>14</v>
      </c>
      <c r="U8" s="701">
        <f t="shared" si="1"/>
        <v>100</v>
      </c>
      <c r="V8" s="700" t="s">
        <v>14</v>
      </c>
      <c r="W8" s="701">
        <f t="shared" si="2"/>
        <v>100</v>
      </c>
      <c r="X8" s="702"/>
      <c r="Y8" s="3735" t="s">
        <v>1683</v>
      </c>
      <c r="Z8" s="3734"/>
      <c r="AA8" s="703">
        <f t="shared" ref="AA8:AA47" si="3">D8/F8</f>
        <v>1</v>
      </c>
      <c r="AB8" s="703">
        <f t="shared" ref="AB8:AB47" si="4">D8/H8</f>
        <v>1</v>
      </c>
      <c r="AC8" s="1958">
        <f t="shared" ref="AC8:AC47" si="5">D8/J8</f>
        <v>1</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3"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1958">
        <f t="shared" si="5"/>
        <v>1</v>
      </c>
    </row>
    <row r="10" spans="1:29" s="378" customFormat="1" ht="28">
      <c r="A10" s="374"/>
      <c r="B10" s="375" t="s">
        <v>1688</v>
      </c>
      <c r="C10" s="3431" t="str">
        <f>D66</f>
        <v>40（含）-30</v>
      </c>
      <c r="D10" s="127">
        <v>100</v>
      </c>
      <c r="E10" s="3431" t="str">
        <f>D66</f>
        <v>40（含）-30</v>
      </c>
      <c r="F10" s="127">
        <f>SUMIF(66:66,E10,67:67)-SUMIF(66:66,C10,67:67)+100</f>
        <v>100</v>
      </c>
      <c r="G10" s="3432" t="str">
        <f>D66</f>
        <v>40（含）-30</v>
      </c>
      <c r="H10" s="127">
        <f>SUMIF(66:66,G10,67:67)-SUMIF(66:66,C10,67:67)+100</f>
        <v>100</v>
      </c>
      <c r="I10" s="3431" t="str">
        <f>D66</f>
        <v>40（含）-30</v>
      </c>
      <c r="J10" s="127">
        <f>SUMIF(66:66,I10,67:67)-SUMIF(66:66,C10,67:67)+100</f>
        <v>100</v>
      </c>
      <c r="K10" s="560"/>
      <c r="L10" s="2716"/>
      <c r="M10" s="2717"/>
      <c r="N10" s="2717"/>
      <c r="O10" s="2717"/>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1958">
        <f t="shared" si="5"/>
        <v>1</v>
      </c>
    </row>
    <row r="11" spans="1:29" ht="15.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3"/>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1958">
        <f t="shared" si="5"/>
        <v>1</v>
      </c>
    </row>
    <row r="12" spans="1:29" s="108" customFormat="1" ht="15.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1958">
        <f>D12/J12</f>
        <v>1</v>
      </c>
    </row>
    <row r="13" spans="1:29" ht="15.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1958">
        <f t="shared" si="5"/>
        <v>1</v>
      </c>
    </row>
    <row r="14" spans="1:29" ht="1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1958">
        <f t="shared" si="5"/>
        <v>1</v>
      </c>
    </row>
    <row r="15" spans="1:29" ht="70">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9" t="s">
        <v>1691</v>
      </c>
      <c r="Q15" s="1351" t="str">
        <f t="shared" si="6"/>
        <v>办公集聚程度</v>
      </c>
      <c r="R15" s="704" t="s">
        <v>14</v>
      </c>
      <c r="S15" s="705">
        <f t="shared" si="0"/>
        <v>100</v>
      </c>
      <c r="T15" s="704" t="s">
        <v>14</v>
      </c>
      <c r="U15" s="705">
        <f t="shared" si="1"/>
        <v>100</v>
      </c>
      <c r="V15" s="704" t="s">
        <v>14</v>
      </c>
      <c r="W15" s="705">
        <f t="shared" si="2"/>
        <v>100</v>
      </c>
      <c r="X15" s="1354"/>
      <c r="Y15" s="3701" t="s">
        <v>1691</v>
      </c>
      <c r="Z15" s="1355" t="str">
        <f t="shared" si="7"/>
        <v>办公集聚程度</v>
      </c>
      <c r="AA15" s="1352">
        <f t="shared" si="3"/>
        <v>1</v>
      </c>
      <c r="AB15" s="1352">
        <f t="shared" si="4"/>
        <v>1</v>
      </c>
      <c r="AC15" s="1961">
        <f t="shared" si="5"/>
        <v>1</v>
      </c>
    </row>
    <row r="16" spans="1:29" ht="15.5">
      <c r="A16" s="379"/>
      <c r="B16" s="578"/>
      <c r="C16" s="1903" t="s">
        <v>3425</v>
      </c>
      <c r="D16" s="399"/>
      <c r="E16" s="1903" t="s">
        <v>3425</v>
      </c>
      <c r="F16" s="399"/>
      <c r="G16" s="1903" t="s">
        <v>3425</v>
      </c>
      <c r="H16" s="401"/>
      <c r="I16" s="1903" t="s">
        <v>3425</v>
      </c>
      <c r="J16" s="399"/>
      <c r="K16" s="564"/>
      <c r="L16" s="2719"/>
      <c r="M16" s="2713"/>
      <c r="N16" s="2713"/>
      <c r="O16" s="2713"/>
      <c r="P16" s="3700"/>
      <c r="Q16" s="1351"/>
      <c r="R16" s="704"/>
      <c r="S16" s="705"/>
      <c r="T16" s="704"/>
      <c r="U16" s="705"/>
      <c r="V16" s="704"/>
      <c r="W16" s="705"/>
      <c r="X16" s="1354"/>
      <c r="Y16" s="3702"/>
      <c r="Z16" s="1355"/>
      <c r="AA16" s="1352">
        <v>1</v>
      </c>
      <c r="AB16" s="1352">
        <v>1</v>
      </c>
      <c r="AC16" s="1961">
        <v>1</v>
      </c>
    </row>
    <row r="17" spans="1:29" ht="84">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5">
      <c r="A18" s="379"/>
      <c r="B18" s="580"/>
      <c r="C18" s="1963" t="s">
        <v>3424</v>
      </c>
      <c r="D18" s="401"/>
      <c r="E18" s="1963" t="s">
        <v>3424</v>
      </c>
      <c r="F18" s="401"/>
      <c r="G18" s="1963" t="s">
        <v>3424</v>
      </c>
      <c r="H18" s="399"/>
      <c r="I18" s="1963" t="s">
        <v>3424</v>
      </c>
      <c r="J18" s="399"/>
      <c r="K18" s="564"/>
      <c r="L18" s="2719"/>
      <c r="M18" s="2713"/>
      <c r="N18" s="2713"/>
      <c r="O18" s="2713"/>
      <c r="P18" s="3700"/>
      <c r="Q18" s="1351"/>
      <c r="R18" s="704"/>
      <c r="S18" s="705"/>
      <c r="T18" s="704"/>
      <c r="U18" s="705"/>
      <c r="V18" s="704"/>
      <c r="W18" s="705"/>
      <c r="X18" s="1354"/>
      <c r="Y18" s="3702"/>
      <c r="Z18" s="1355"/>
      <c r="AA18" s="1352">
        <v>1</v>
      </c>
      <c r="AB18" s="1352">
        <v>1</v>
      </c>
      <c r="AC18" s="1961">
        <v>1</v>
      </c>
    </row>
    <row r="19" spans="1:29" ht="42">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5">
      <c r="A20" s="379"/>
      <c r="B20" s="580"/>
      <c r="C20" s="1903" t="s">
        <v>3449</v>
      </c>
      <c r="D20" s="399"/>
      <c r="E20" s="1903" t="s">
        <v>3449</v>
      </c>
      <c r="F20" s="399"/>
      <c r="G20" s="1903" t="s">
        <v>3449</v>
      </c>
      <c r="H20" s="399"/>
      <c r="I20" s="1903" t="s">
        <v>3449</v>
      </c>
      <c r="J20" s="399"/>
      <c r="K20" s="564"/>
      <c r="L20" s="2719"/>
      <c r="M20" s="2713"/>
      <c r="N20" s="2713"/>
      <c r="O20" s="2713"/>
      <c r="P20" s="3700"/>
      <c r="Q20" s="1351"/>
      <c r="R20" s="704"/>
      <c r="S20" s="705"/>
      <c r="T20" s="704"/>
      <c r="U20" s="705"/>
      <c r="V20" s="704"/>
      <c r="W20" s="705"/>
      <c r="X20" s="1354"/>
      <c r="Y20" s="3702"/>
      <c r="Z20" s="1355"/>
      <c r="AA20" s="1352">
        <v>1</v>
      </c>
      <c r="AB20" s="1352">
        <v>1</v>
      </c>
      <c r="AC20" s="1961">
        <v>1</v>
      </c>
    </row>
    <row r="21" spans="1:29" ht="28">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5">
      <c r="A22" s="379"/>
      <c r="B22" s="581"/>
      <c r="C22" s="1963" t="s">
        <v>3440</v>
      </c>
      <c r="D22" s="399"/>
      <c r="E22" s="1963" t="s">
        <v>3440</v>
      </c>
      <c r="F22" s="399"/>
      <c r="G22" s="1963" t="s">
        <v>3440</v>
      </c>
      <c r="H22" s="399"/>
      <c r="I22" s="1963" t="s">
        <v>3440</v>
      </c>
      <c r="J22" s="399"/>
      <c r="K22" s="1129"/>
      <c r="L22" s="2719"/>
      <c r="M22" s="2713"/>
      <c r="N22" s="2713"/>
      <c r="O22" s="2713"/>
      <c r="P22" s="3700"/>
      <c r="Q22" s="1351"/>
      <c r="R22" s="704"/>
      <c r="S22" s="705"/>
      <c r="T22" s="704"/>
      <c r="U22" s="705"/>
      <c r="V22" s="704"/>
      <c r="W22" s="705"/>
      <c r="X22" s="1354"/>
      <c r="Y22" s="3702"/>
      <c r="Z22" s="1355"/>
      <c r="AA22" s="1352">
        <v>1</v>
      </c>
      <c r="AB22" s="1352">
        <v>1</v>
      </c>
      <c r="AC22" s="1961">
        <v>1</v>
      </c>
    </row>
    <row r="23" spans="1:29" ht="56">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0"/>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5">
      <c r="A24" s="379"/>
      <c r="B24" s="581"/>
      <c r="C24" s="1903" t="s">
        <v>3425</v>
      </c>
      <c r="D24" s="399"/>
      <c r="E24" s="1903" t="s">
        <v>3425</v>
      </c>
      <c r="F24" s="399"/>
      <c r="G24" s="1903" t="s">
        <v>3425</v>
      </c>
      <c r="H24" s="399"/>
      <c r="I24" s="1903" t="s">
        <v>3425</v>
      </c>
      <c r="J24" s="399"/>
      <c r="K24" s="564"/>
      <c r="L24" s="2719"/>
      <c r="M24" s="2713"/>
      <c r="N24" s="2713"/>
      <c r="O24" s="2713"/>
      <c r="P24" s="3700"/>
      <c r="Q24" s="1351"/>
      <c r="R24" s="704"/>
      <c r="S24" s="705"/>
      <c r="T24" s="704"/>
      <c r="U24" s="705"/>
      <c r="V24" s="704"/>
      <c r="W24" s="705"/>
      <c r="X24" s="1354"/>
      <c r="Y24" s="3702"/>
      <c r="Z24" s="1355"/>
      <c r="AA24" s="1352">
        <v>1</v>
      </c>
      <c r="AB24" s="1352">
        <v>1</v>
      </c>
      <c r="AC24" s="1961">
        <v>1</v>
      </c>
    </row>
    <row r="25" spans="1:29" ht="2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0"/>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5">
      <c r="A26" s="358"/>
      <c r="B26" s="580"/>
      <c r="C26" s="582"/>
      <c r="D26" s="386"/>
      <c r="E26" s="565"/>
      <c r="F26" s="386"/>
      <c r="G26" s="582"/>
      <c r="H26" s="386"/>
      <c r="I26" s="565"/>
      <c r="J26" s="386"/>
      <c r="K26" s="564"/>
      <c r="L26" s="2719"/>
      <c r="M26" s="2713"/>
      <c r="N26" s="2713"/>
      <c r="O26" s="2713"/>
      <c r="P26" s="3700"/>
      <c r="Q26" s="1351"/>
      <c r="R26" s="704"/>
      <c r="S26" s="705"/>
      <c r="T26" s="704"/>
      <c r="U26" s="705"/>
      <c r="V26" s="704"/>
      <c r="W26" s="705"/>
      <c r="X26" s="1354"/>
      <c r="Y26" s="3702"/>
      <c r="Z26" s="1355"/>
      <c r="AA26" s="1352">
        <v>1</v>
      </c>
      <c r="AB26" s="1352">
        <v>1</v>
      </c>
      <c r="AC26" s="1961">
        <v>1</v>
      </c>
    </row>
    <row r="27" spans="1:29" ht="15.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00"/>
      <c r="Q27" s="1351" t="str">
        <f t="shared" ref="Q27:Q47" si="11">B27</f>
        <v>楼层</v>
      </c>
      <c r="R27" s="704" t="s">
        <v>14</v>
      </c>
      <c r="S27" s="705">
        <f>F27</f>
        <v>102</v>
      </c>
      <c r="T27" s="704" t="s">
        <v>14</v>
      </c>
      <c r="U27" s="705">
        <f>H27</f>
        <v>102</v>
      </c>
      <c r="V27" s="704" t="s">
        <v>14</v>
      </c>
      <c r="W27" s="705">
        <f>J27</f>
        <v>102</v>
      </c>
      <c r="X27" s="1354"/>
      <c r="Y27" s="3702"/>
      <c r="Z27" s="1355" t="str">
        <f>Q27</f>
        <v>楼层</v>
      </c>
      <c r="AA27" s="1352">
        <f t="shared" si="3"/>
        <v>0.98039215686274506</v>
      </c>
      <c r="AB27" s="1352">
        <f t="shared" si="4"/>
        <v>0.98039215686274506</v>
      </c>
      <c r="AC27" s="1961">
        <f t="shared" si="5"/>
        <v>0.98039215686274506</v>
      </c>
    </row>
    <row r="28" spans="1:29" s="108" customFormat="1" ht="15.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0"/>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00"/>
      <c r="Q29" s="1351">
        <f t="shared" si="11"/>
        <v>0</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0</v>
      </c>
      <c r="AA29" s="1352">
        <f t="shared" si="3"/>
        <v>1</v>
      </c>
      <c r="AB29" s="1352">
        <f t="shared" si="4"/>
        <v>1</v>
      </c>
      <c r="AC29" s="1961">
        <f t="shared" si="5"/>
        <v>1</v>
      </c>
    </row>
    <row r="30" spans="1:29" ht="15.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0"/>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3" t="s">
        <v>1696</v>
      </c>
      <c r="Q33" s="1351" t="str">
        <f t="shared" si="11"/>
        <v>建筑类型</v>
      </c>
      <c r="R33" s="704" t="s">
        <v>14</v>
      </c>
      <c r="S33" s="705">
        <f t="shared" si="12"/>
        <v>100</v>
      </c>
      <c r="T33" s="704" t="s">
        <v>14</v>
      </c>
      <c r="U33" s="705">
        <f t="shared" si="13"/>
        <v>100</v>
      </c>
      <c r="V33" s="704" t="s">
        <v>14</v>
      </c>
      <c r="W33" s="705">
        <f t="shared" si="14"/>
        <v>100</v>
      </c>
      <c r="X33" s="1354"/>
      <c r="Y33" s="3706" t="s">
        <v>1696</v>
      </c>
      <c r="Z33" s="1355" t="str">
        <f t="shared" si="15"/>
        <v>建筑类型</v>
      </c>
      <c r="AA33" s="1352">
        <f t="shared" si="3"/>
        <v>1</v>
      </c>
      <c r="AB33" s="1352">
        <f t="shared" si="4"/>
        <v>1</v>
      </c>
      <c r="AC33" s="1961">
        <f t="shared" si="5"/>
        <v>1</v>
      </c>
    </row>
    <row r="34" spans="1:29" s="422" customFormat="1" ht="15.5">
      <c r="A34" s="419"/>
      <c r="B34" s="375" t="s">
        <v>1697</v>
      </c>
      <c r="C34" s="420">
        <f>'数据-汇总表'!E3</f>
        <v>148.12</v>
      </c>
      <c r="D34" s="127">
        <v>100</v>
      </c>
      <c r="E34" s="381">
        <v>770</v>
      </c>
      <c r="F34" s="376">
        <f>LOOKUP(E34,104:104,105:105)-LOOKUP(C34,104:104,105:105)+100</f>
        <v>100</v>
      </c>
      <c r="G34" s="380">
        <v>753</v>
      </c>
      <c r="H34" s="127">
        <f>LOOKUP(G34,104:104,105:105)-LOOKUP(C34,104:104,105:105)+100</f>
        <v>100</v>
      </c>
      <c r="I34" s="380">
        <v>685</v>
      </c>
      <c r="J34" s="127">
        <f>LOOKUP(I34,104:104,105:105)-LOOKUP(C34,104:104,105:105)+100</f>
        <v>100</v>
      </c>
      <c r="K34" s="562"/>
      <c r="L34" s="2718"/>
      <c r="M34" s="2720"/>
      <c r="N34" s="2720"/>
      <c r="O34" s="2720"/>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1352">
        <f t="shared" si="3"/>
        <v>1</v>
      </c>
      <c r="AB34" s="1352">
        <f t="shared" si="4"/>
        <v>1</v>
      </c>
      <c r="AC34" s="1961">
        <f t="shared" si="5"/>
        <v>1</v>
      </c>
    </row>
    <row r="35" spans="1:29" ht="15.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19"/>
      <c r="M37" s="2713"/>
      <c r="N37" s="2713"/>
      <c r="O37" s="2713"/>
      <c r="P37" s="3704"/>
      <c r="Q37" s="1351" t="str">
        <f t="shared" si="11"/>
        <v>成新度</v>
      </c>
      <c r="R37" s="704" t="s">
        <v>14</v>
      </c>
      <c r="S37" s="705">
        <f t="shared" si="12"/>
        <v>100</v>
      </c>
      <c r="T37" s="704" t="s">
        <v>14</v>
      </c>
      <c r="U37" s="705">
        <f t="shared" si="13"/>
        <v>100</v>
      </c>
      <c r="V37" s="704" t="s">
        <v>14</v>
      </c>
      <c r="W37" s="705">
        <f t="shared" si="14"/>
        <v>100</v>
      </c>
      <c r="X37" s="1354"/>
      <c r="Y37" s="3706"/>
      <c r="Z37" s="1355" t="str">
        <f t="shared" si="15"/>
        <v>成新度</v>
      </c>
      <c r="AA37" s="1352">
        <f t="shared" si="3"/>
        <v>1</v>
      </c>
      <c r="AB37" s="1352">
        <f t="shared" si="4"/>
        <v>1</v>
      </c>
      <c r="AC37" s="1961">
        <f t="shared" si="5"/>
        <v>1</v>
      </c>
    </row>
    <row r="38" spans="1:29" s="108" customFormat="1" ht="15.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4" t="s">
        <v>1696</v>
      </c>
      <c r="Q39" s="1351" t="str">
        <f t="shared" si="11"/>
        <v>物业管理</v>
      </c>
      <c r="R39" s="704" t="s">
        <v>14</v>
      </c>
      <c r="S39" s="705">
        <f t="shared" si="12"/>
        <v>100</v>
      </c>
      <c r="T39" s="704" t="s">
        <v>14</v>
      </c>
      <c r="U39" s="705">
        <f t="shared" si="13"/>
        <v>100</v>
      </c>
      <c r="V39" s="704" t="s">
        <v>14</v>
      </c>
      <c r="W39" s="705">
        <f t="shared" si="14"/>
        <v>100</v>
      </c>
      <c r="X39" s="1354"/>
      <c r="Y39" s="3706" t="s">
        <v>1696</v>
      </c>
      <c r="Z39" s="1355" t="str">
        <f t="shared" si="15"/>
        <v>物业管理</v>
      </c>
      <c r="AA39" s="1352">
        <f t="shared" si="3"/>
        <v>1</v>
      </c>
      <c r="AB39" s="1352">
        <f t="shared" si="4"/>
        <v>1</v>
      </c>
      <c r="AC39" s="1961">
        <f t="shared" si="5"/>
        <v>1</v>
      </c>
    </row>
    <row r="40" spans="1:29" ht="15.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5">
      <c r="A43" s="423"/>
      <c r="B43" s="375" t="s">
        <v>1792</v>
      </c>
      <c r="C43" s="411" t="s">
        <v>3532</v>
      </c>
      <c r="D43" s="386">
        <v>100</v>
      </c>
      <c r="E43" s="411" t="s">
        <v>3528</v>
      </c>
      <c r="F43" s="412">
        <f>SUMIF(123:123,E43,124:124)-SUMIF(123:123,C43,124:124)+100</f>
        <v>98</v>
      </c>
      <c r="G43" s="411" t="s">
        <v>3528</v>
      </c>
      <c r="H43" s="386">
        <f>SUMIF(123:123,G43,124:124)-SUMIF(123:123,C43,124:124)+100</f>
        <v>98</v>
      </c>
      <c r="I43" s="411" t="s">
        <v>3528</v>
      </c>
      <c r="J43" s="386">
        <f>SUMIF(123:123,I43,124:124)-SUMIF(123:123,C43,124:124)+100</f>
        <v>98</v>
      </c>
      <c r="K43" s="561">
        <v>1</v>
      </c>
      <c r="L43" s="2719"/>
      <c r="M43" s="2713"/>
      <c r="N43" s="2713"/>
      <c r="O43" s="2713"/>
      <c r="P43" s="3704"/>
      <c r="Q43" s="1351" t="str">
        <f t="shared" si="11"/>
        <v>内部装修</v>
      </c>
      <c r="R43" s="704" t="s">
        <v>14</v>
      </c>
      <c r="S43" s="705">
        <f t="shared" si="12"/>
        <v>98</v>
      </c>
      <c r="T43" s="704" t="s">
        <v>14</v>
      </c>
      <c r="U43" s="705">
        <f t="shared" si="13"/>
        <v>98</v>
      </c>
      <c r="V43" s="704" t="s">
        <v>14</v>
      </c>
      <c r="W43" s="705">
        <f t="shared" si="14"/>
        <v>98</v>
      </c>
      <c r="X43" s="1354"/>
      <c r="Y43" s="3706"/>
      <c r="Z43" s="1355" t="str">
        <f t="shared" si="15"/>
        <v>内部装修</v>
      </c>
      <c r="AA43" s="1352">
        <f t="shared" si="3"/>
        <v>1.0204081632653061</v>
      </c>
      <c r="AB43" s="1352">
        <f t="shared" si="4"/>
        <v>1.0204081632653061</v>
      </c>
      <c r="AC43" s="1961">
        <f t="shared" si="5"/>
        <v>1.0204081632653061</v>
      </c>
    </row>
    <row r="44" spans="1:29" ht="28">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5">
      <c r="A45" s="424"/>
      <c r="B45" s="3463" t="s">
        <v>3513</v>
      </c>
      <c r="C45" s="420">
        <f>'数据-取费表'!N18</f>
        <v>2015</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4"/>
      <c r="Q45" s="1342" t="str">
        <f t="shared" si="11"/>
        <v>建成年代</v>
      </c>
      <c r="R45" s="700" t="s">
        <v>14</v>
      </c>
      <c r="S45" s="701">
        <f t="shared" si="12"/>
        <v>100</v>
      </c>
      <c r="T45" s="700" t="s">
        <v>14</v>
      </c>
      <c r="U45" s="701">
        <f t="shared" si="13"/>
        <v>100</v>
      </c>
      <c r="V45" s="700" t="s">
        <v>14</v>
      </c>
      <c r="W45" s="701">
        <f t="shared" si="14"/>
        <v>100</v>
      </c>
      <c r="X45" s="702"/>
      <c r="Y45" s="3706"/>
      <c r="Z45" s="52" t="str">
        <f t="shared" si="15"/>
        <v>建成年代</v>
      </c>
      <c r="AA45" s="703">
        <f t="shared" si="3"/>
        <v>1</v>
      </c>
      <c r="AB45" s="703">
        <f t="shared" si="4"/>
        <v>1</v>
      </c>
      <c r="AC45" s="1958">
        <f t="shared" si="5"/>
        <v>1</v>
      </c>
    </row>
    <row r="46" spans="1:29" ht="15.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c r="A48" s="430" t="s">
        <v>1708</v>
      </c>
      <c r="B48" s="431"/>
      <c r="C48" s="1153" t="s">
        <v>0</v>
      </c>
      <c r="D48" s="1154"/>
      <c r="E48" s="1155">
        <v>27516</v>
      </c>
      <c r="F48" s="1156"/>
      <c r="G48" s="1155">
        <v>26290</v>
      </c>
      <c r="H48" s="1158"/>
      <c r="I48" s="1155">
        <v>25000</v>
      </c>
      <c r="J48" s="436"/>
      <c r="K48" s="713"/>
      <c r="L48" s="2721"/>
      <c r="M48" s="2713"/>
      <c r="N48" s="2713"/>
      <c r="O48" s="2713"/>
      <c r="P48" s="3693" t="str">
        <f>A48</f>
        <v>成交单价（元/平方米）</v>
      </c>
      <c r="Q48" s="3694"/>
      <c r="R48" s="3695">
        <f>E48</f>
        <v>27516</v>
      </c>
      <c r="S48" s="3695"/>
      <c r="T48" s="3695">
        <f>G48</f>
        <v>26290</v>
      </c>
      <c r="U48" s="3695"/>
      <c r="V48" s="3695">
        <f>I48</f>
        <v>25000</v>
      </c>
      <c r="W48" s="3695"/>
      <c r="X48" s="397"/>
      <c r="Y48" s="711"/>
      <c r="Z48" s="397"/>
      <c r="AA48" s="397"/>
      <c r="AB48" s="397"/>
      <c r="AC48" s="578"/>
    </row>
    <row r="49" spans="1:29" ht="14.5" thickBot="1">
      <c r="A49" s="437" t="s">
        <v>1793</v>
      </c>
      <c r="B49" s="438"/>
      <c r="C49" s="1159">
        <f>R50</f>
        <v>26279</v>
      </c>
      <c r="D49" s="2316" t="s">
        <v>2137</v>
      </c>
      <c r="E49" s="1160">
        <f>R49</f>
        <v>27527</v>
      </c>
      <c r="F49" s="2317"/>
      <c r="G49" s="1159">
        <f>T49</f>
        <v>26301</v>
      </c>
      <c r="H49" s="2317"/>
      <c r="I49" s="1160">
        <f>V49</f>
        <v>25010</v>
      </c>
      <c r="J49" s="2317"/>
      <c r="K49" s="2319">
        <f>F49+H49+J49</f>
        <v>0</v>
      </c>
      <c r="L49" s="2721"/>
      <c r="M49" s="2713"/>
      <c r="N49" s="2713"/>
      <c r="O49" s="2713"/>
      <c r="P49" s="3693" t="str">
        <f>A49</f>
        <v>比较价值（元/平方米）</v>
      </c>
      <c r="Q49" s="3694"/>
      <c r="R49" s="3695">
        <f>IF(F1="售价",ROUND(PRODUCT(R48,AA7:AA47),0),ROUND(PRODUCT(R48,AA7:AA47),1))</f>
        <v>27527</v>
      </c>
      <c r="S49" s="3695"/>
      <c r="T49" s="3695">
        <f>IF(F1="售价",ROUND(PRODUCT(T48,AB7:AB47),0),ROUND(PRODUCT(T48,AB7:AB47),1))</f>
        <v>26301</v>
      </c>
      <c r="U49" s="3695"/>
      <c r="V49" s="3695">
        <f>IF(F1="售价",ROUND(PRODUCT(V48,AC7:AC47),0),ROUND(PRODUCT(V48,AC7:AC47),1))</f>
        <v>25010</v>
      </c>
      <c r="W49" s="3695"/>
      <c r="X49" s="397"/>
      <c r="Y49" s="397"/>
      <c r="Z49" s="397"/>
      <c r="AA49" s="397"/>
      <c r="AB49" s="397"/>
      <c r="AC49" s="578"/>
    </row>
    <row r="50" spans="1:29" ht="14.5" thickBot="1">
      <c r="A50" s="441" t="s">
        <v>1794</v>
      </c>
      <c r="B50" s="442"/>
      <c r="C50" s="1162">
        <f>R50</f>
        <v>26279</v>
      </c>
      <c r="D50" s="1162"/>
      <c r="E50" s="1162"/>
      <c r="F50" s="1162"/>
      <c r="G50" s="1162"/>
      <c r="H50" s="1162"/>
      <c r="I50" s="1162"/>
      <c r="J50" s="443"/>
      <c r="K50" s="714"/>
      <c r="L50" s="2721"/>
      <c r="M50" s="2713"/>
      <c r="N50" s="2713"/>
      <c r="O50" s="2713"/>
      <c r="P50" s="3696" t="str">
        <f>A50</f>
        <v>估价对象XX用房的比较价值（楼面单价，元/平方米）</v>
      </c>
      <c r="Q50" s="3697"/>
      <c r="R50" s="3698">
        <f>IF(F1="售价",ROUND(IF(D49="简单平均",AVERAGE(R49:V49),R49*F49+T49*H49+V49*J49),0),ROUND(IF(D49="简单平均",AVERAGE(R49:V49),R49*F49+T49*H49+V49*J49),1))</f>
        <v>26279</v>
      </c>
      <c r="S50" s="3698"/>
      <c r="T50" s="3698"/>
      <c r="U50" s="3698"/>
      <c r="V50" s="3698"/>
      <c r="W50" s="3698"/>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3.9976740805358624E-4</v>
      </c>
      <c r="F53" s="449" t="str">
        <f>IF(OR(E53&gt;=0.3,E53&lt;=-0.3),"超过30%","")</f>
        <v/>
      </c>
      <c r="G53" s="448">
        <f>IF(G48&lt;G49,G49/G48-1,G48/G49-1)</f>
        <v>4.1841004184095532E-4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4.6614197178814543E-2</v>
      </c>
      <c r="F54" s="449" t="str">
        <f>IF(OR(E54&gt;=0.2,E54&lt;=-0.2),"超过20%","")</f>
        <v/>
      </c>
      <c r="G54" s="448">
        <f>IF(G49&lt;I49,I49/G49-1,G49/I49-1)</f>
        <v>5.1619352259096418E-2</v>
      </c>
      <c r="H54" s="449" t="str">
        <f>IF(OR(G54&gt;=0.2,G54&lt;=-0.2),"超过20%","")</f>
        <v/>
      </c>
      <c r="I54" s="448">
        <f>IF(I49&lt;E49,E49/I49-1,I49/E49-1)</f>
        <v>0.10063974410235899</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4.6633701027006369E-2</v>
      </c>
      <c r="F55" s="449" t="str">
        <f>IF(OR(E55&gt;=0.3,E55&lt;=-0.3),"超过30%","")</f>
        <v/>
      </c>
      <c r="G55" s="448">
        <f>IF(G48&lt;I48,I48/G48-1,G48/I48-1)</f>
        <v>5.160000000000009E-2</v>
      </c>
      <c r="H55" s="449" t="str">
        <f>IF(OR(G55&gt;=0.3,G55&lt;=-0.3),"超过30%","")</f>
        <v/>
      </c>
      <c r="I55" s="448">
        <f>IF(I48&lt;E48,E48/I48-1,I48/E48-1)</f>
        <v>0.10064000000000006</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4.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4.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8.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4.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4.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4.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4.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4.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4.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4.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8.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4.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4.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4.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4.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4.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4.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4.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4.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4.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4.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4.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4.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4.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4.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4.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4.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28.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0" zoomScale="90" zoomScaleNormal="70" zoomScaleSheetLayoutView="90" workbookViewId="0">
      <selection activeCell="N47" sqref="N47"/>
    </sheetView>
  </sheetViews>
  <sheetFormatPr defaultColWidth="9" defaultRowHeight="14"/>
  <cols>
    <col min="1" max="1" width="10.453125" style="357" customWidth="1"/>
    <col min="2" max="2" width="15.7265625" style="357" customWidth="1"/>
    <col min="3" max="3" width="15.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4.1500000000000002E-2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2.8</v>
      </c>
      <c r="C3" s="354" t="s">
        <v>1665</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c r="A4" s="355" t="s">
        <v>1666</v>
      </c>
      <c r="B4" s="356"/>
      <c r="C4" s="3711" t="s">
        <v>1667</v>
      </c>
      <c r="D4" s="3712"/>
      <c r="E4" s="3713" t="s">
        <v>1668</v>
      </c>
      <c r="F4" s="3714"/>
      <c r="G4" s="3711" t="s">
        <v>1669</v>
      </c>
      <c r="H4" s="3712"/>
      <c r="I4" s="3711" t="s">
        <v>1670</v>
      </c>
      <c r="J4" s="3712"/>
      <c r="K4" s="559" t="s">
        <v>1671</v>
      </c>
      <c r="L4" s="2712"/>
      <c r="M4" s="2713"/>
      <c r="N4" s="2713"/>
      <c r="O4" s="2713"/>
      <c r="P4" s="3715" t="s">
        <v>1672</v>
      </c>
      <c r="Q4" s="3716"/>
      <c r="R4" s="3721" t="s">
        <v>1668</v>
      </c>
      <c r="S4" s="3722"/>
      <c r="T4" s="3721" t="s">
        <v>1669</v>
      </c>
      <c r="U4" s="3722"/>
      <c r="V4" s="3727" t="s">
        <v>1670</v>
      </c>
      <c r="W4" s="3727"/>
      <c r="X4" s="3474"/>
      <c r="Y4" s="3721" t="s">
        <v>1672</v>
      </c>
      <c r="Z4" s="3722"/>
      <c r="AA4" s="3739" t="s">
        <v>1668</v>
      </c>
      <c r="AB4" s="3739" t="s">
        <v>1669</v>
      </c>
      <c r="AC4" s="3708" t="s">
        <v>1670</v>
      </c>
    </row>
    <row r="5" spans="1:29">
      <c r="A5" s="358"/>
      <c r="B5" s="359"/>
      <c r="C5" s="3731" t="s">
        <v>3527</v>
      </c>
      <c r="D5" s="3732"/>
      <c r="E5" s="3742" t="s">
        <v>3527</v>
      </c>
      <c r="F5" s="3743"/>
      <c r="G5" s="3731" t="s">
        <v>3527</v>
      </c>
      <c r="H5" s="3732"/>
      <c r="I5" s="3731" t="s">
        <v>3527</v>
      </c>
      <c r="J5" s="3732"/>
      <c r="K5" s="559"/>
      <c r="L5" s="2712"/>
      <c r="M5" s="2713"/>
      <c r="N5" s="2713"/>
      <c r="O5" s="2713"/>
      <c r="P5" s="3717"/>
      <c r="Q5" s="3718"/>
      <c r="R5" s="3723"/>
      <c r="S5" s="3724"/>
      <c r="T5" s="3723"/>
      <c r="U5" s="3724"/>
      <c r="V5" s="3728"/>
      <c r="W5" s="3728"/>
      <c r="X5" s="3472"/>
      <c r="Y5" s="3723"/>
      <c r="Z5" s="3724"/>
      <c r="AA5" s="3740"/>
      <c r="AB5" s="3740"/>
      <c r="AC5" s="3709"/>
    </row>
    <row r="6" spans="1:29" ht="15" thickBot="1">
      <c r="A6" s="360"/>
      <c r="B6" s="361"/>
      <c r="C6" s="3729" t="s">
        <v>1677</v>
      </c>
      <c r="D6" s="3730"/>
      <c r="E6" s="3737" t="s">
        <v>1677</v>
      </c>
      <c r="F6" s="3738"/>
      <c r="G6" s="3729" t="s">
        <v>1677</v>
      </c>
      <c r="H6" s="3730"/>
      <c r="I6" s="3729" t="s">
        <v>1677</v>
      </c>
      <c r="J6" s="3730"/>
      <c r="K6" s="559" t="s">
        <v>1678</v>
      </c>
      <c r="L6" s="2712"/>
      <c r="M6" s="2713"/>
      <c r="N6" s="2713"/>
      <c r="O6" s="2713"/>
      <c r="P6" s="3719"/>
      <c r="Q6" s="3720"/>
      <c r="R6" s="3723"/>
      <c r="S6" s="3724"/>
      <c r="T6" s="3725"/>
      <c r="U6" s="3726"/>
      <c r="V6" s="3728"/>
      <c r="W6" s="3728"/>
      <c r="X6" s="3472"/>
      <c r="Y6" s="3725"/>
      <c r="Z6" s="3726"/>
      <c r="AA6" s="3741"/>
      <c r="AB6" s="3741"/>
      <c r="AC6" s="3710"/>
    </row>
    <row r="7" spans="1:29" s="108" customFormat="1" ht="14.5" thickBot="1">
      <c r="A7" s="362" t="s">
        <v>1679</v>
      </c>
      <c r="B7" s="363"/>
      <c r="C7" s="364">
        <f>'数据-取费表'!B2</f>
        <v>45716</v>
      </c>
      <c r="D7" s="365">
        <v>100</v>
      </c>
      <c r="E7" s="366">
        <f>C7</f>
        <v>45716</v>
      </c>
      <c r="F7" s="367">
        <f>SUMIF(59:59,YEAR(E7)&amp;"-"&amp;MONTH(E7),60:60)</f>
        <v>100</v>
      </c>
      <c r="G7" s="366">
        <f>C7</f>
        <v>45716</v>
      </c>
      <c r="H7" s="365">
        <f>SUMIF(59:59,YEAR(G7)&amp;"-"&amp;MONTH(G7),60:60)</f>
        <v>100</v>
      </c>
      <c r="I7" s="366">
        <f>C7</f>
        <v>45716</v>
      </c>
      <c r="J7" s="365">
        <f>SUMIF(59:59,YEAR(I7)&amp;"-"&amp;MONTH(I7),60:60)</f>
        <v>100</v>
      </c>
      <c r="K7" s="560"/>
      <c r="L7" s="2714"/>
      <c r="M7" s="2715"/>
      <c r="N7" s="2715"/>
      <c r="O7" s="2715"/>
      <c r="P7" s="3733" t="s">
        <v>1680</v>
      </c>
      <c r="Q7" s="3736"/>
      <c r="R7" s="700" t="s">
        <v>14</v>
      </c>
      <c r="S7" s="701">
        <f t="shared" ref="S7:S15" si="0">F7</f>
        <v>100</v>
      </c>
      <c r="T7" s="700" t="s">
        <v>14</v>
      </c>
      <c r="U7" s="701">
        <f t="shared" ref="U7:U15" si="1">H7</f>
        <v>100</v>
      </c>
      <c r="V7" s="700" t="s">
        <v>14</v>
      </c>
      <c r="W7" s="701">
        <f t="shared" ref="W7:W15" si="2">J7</f>
        <v>100</v>
      </c>
      <c r="X7" s="702"/>
      <c r="Y7" s="3735" t="s">
        <v>1680</v>
      </c>
      <c r="Z7" s="3734"/>
      <c r="AA7" s="703">
        <f>D7/F7</f>
        <v>1</v>
      </c>
      <c r="AB7" s="703">
        <f>D7/H7</f>
        <v>1</v>
      </c>
      <c r="AC7" s="1958">
        <f>D7/J7</f>
        <v>1</v>
      </c>
    </row>
    <row r="8" spans="1:29" s="108" customFormat="1" ht="14.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33" t="s">
        <v>1683</v>
      </c>
      <c r="Q8" s="3734"/>
      <c r="R8" s="700" t="s">
        <v>14</v>
      </c>
      <c r="S8" s="701">
        <f t="shared" si="0"/>
        <v>102</v>
      </c>
      <c r="T8" s="700" t="s">
        <v>14</v>
      </c>
      <c r="U8" s="701">
        <f t="shared" si="1"/>
        <v>102</v>
      </c>
      <c r="V8" s="700" t="s">
        <v>14</v>
      </c>
      <c r="W8" s="701">
        <f t="shared" si="2"/>
        <v>102</v>
      </c>
      <c r="X8" s="702"/>
      <c r="Y8" s="3735" t="s">
        <v>1683</v>
      </c>
      <c r="Z8" s="373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3" t="s">
        <v>1686</v>
      </c>
      <c r="Q9" s="3468" t="str">
        <f t="shared" ref="Q9:Q15" si="6">B9</f>
        <v>用途</v>
      </c>
      <c r="R9" s="700" t="s">
        <v>14</v>
      </c>
      <c r="S9" s="701">
        <f t="shared" si="0"/>
        <v>100</v>
      </c>
      <c r="T9" s="700" t="s">
        <v>14</v>
      </c>
      <c r="U9" s="701">
        <f t="shared" si="1"/>
        <v>100</v>
      </c>
      <c r="V9" s="700" t="s">
        <v>14</v>
      </c>
      <c r="W9" s="701">
        <f t="shared" si="2"/>
        <v>100</v>
      </c>
      <c r="X9" s="702"/>
      <c r="Y9" s="3573" t="s">
        <v>1687</v>
      </c>
      <c r="Z9" s="3467" t="str">
        <f t="shared" ref="Z9:Z15" si="7">Q9</f>
        <v>用途</v>
      </c>
      <c r="AA9" s="703">
        <f t="shared" si="3"/>
        <v>1</v>
      </c>
      <c r="AB9" s="703">
        <f t="shared" si="4"/>
        <v>1</v>
      </c>
      <c r="AC9" s="1958">
        <f t="shared" si="5"/>
        <v>1</v>
      </c>
    </row>
    <row r="10" spans="1:29" s="378" customFormat="1" ht="2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3"/>
      <c r="Q10" s="3468" t="str">
        <f t="shared" si="6"/>
        <v>土地使用年限（年）</v>
      </c>
      <c r="R10" s="700" t="s">
        <v>14</v>
      </c>
      <c r="S10" s="701">
        <f t="shared" si="0"/>
        <v>100</v>
      </c>
      <c r="T10" s="700" t="s">
        <v>14</v>
      </c>
      <c r="U10" s="701">
        <f t="shared" si="1"/>
        <v>100</v>
      </c>
      <c r="V10" s="700" t="s">
        <v>14</v>
      </c>
      <c r="W10" s="701">
        <f t="shared" si="2"/>
        <v>100</v>
      </c>
      <c r="X10" s="702"/>
      <c r="Y10" s="3573"/>
      <c r="Z10" s="3467" t="str">
        <f t="shared" si="7"/>
        <v>土地使用年限（年）</v>
      </c>
      <c r="AA10" s="703">
        <f t="shared" si="3"/>
        <v>1</v>
      </c>
      <c r="AB10" s="703">
        <f t="shared" si="4"/>
        <v>1</v>
      </c>
      <c r="AC10" s="1958">
        <f t="shared" si="5"/>
        <v>1</v>
      </c>
    </row>
    <row r="11" spans="1:29" ht="15.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3"/>
      <c r="Q11" s="3468" t="str">
        <f t="shared" si="6"/>
        <v>容积率</v>
      </c>
      <c r="R11" s="700" t="s">
        <v>14</v>
      </c>
      <c r="S11" s="701">
        <f t="shared" si="0"/>
        <v>100</v>
      </c>
      <c r="T11" s="700" t="s">
        <v>14</v>
      </c>
      <c r="U11" s="701">
        <f t="shared" si="1"/>
        <v>100</v>
      </c>
      <c r="V11" s="700" t="s">
        <v>14</v>
      </c>
      <c r="W11" s="701">
        <f t="shared" si="2"/>
        <v>100</v>
      </c>
      <c r="X11" s="702"/>
      <c r="Y11" s="3573"/>
      <c r="Z11" s="3467" t="str">
        <f t="shared" si="7"/>
        <v>容积率</v>
      </c>
      <c r="AA11" s="703">
        <f t="shared" si="3"/>
        <v>1</v>
      </c>
      <c r="AB11" s="703">
        <f t="shared" si="4"/>
        <v>1</v>
      </c>
      <c r="AC11" s="1958">
        <f t="shared" si="5"/>
        <v>1</v>
      </c>
    </row>
    <row r="12" spans="1:29" s="108" customFormat="1" ht="15.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3"/>
      <c r="Q12" s="3468">
        <f t="shared" si="6"/>
        <v>111</v>
      </c>
      <c r="R12" s="700" t="s">
        <v>14</v>
      </c>
      <c r="S12" s="701">
        <f t="shared" si="0"/>
        <v>100</v>
      </c>
      <c r="T12" s="700" t="s">
        <v>14</v>
      </c>
      <c r="U12" s="701">
        <f t="shared" si="1"/>
        <v>100</v>
      </c>
      <c r="V12" s="700" t="s">
        <v>14</v>
      </c>
      <c r="W12" s="701">
        <f t="shared" si="2"/>
        <v>100</v>
      </c>
      <c r="X12" s="702"/>
      <c r="Y12" s="3573"/>
      <c r="Z12" s="3467">
        <f t="shared" si="7"/>
        <v>111</v>
      </c>
      <c r="AA12" s="703">
        <f>D12/F12</f>
        <v>1</v>
      </c>
      <c r="AB12" s="703">
        <f>D12/H12</f>
        <v>1</v>
      </c>
      <c r="AC12" s="1958">
        <f>D12/J12</f>
        <v>1</v>
      </c>
    </row>
    <row r="13" spans="1:29" ht="15.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3"/>
      <c r="Q13" s="3468">
        <f t="shared" si="6"/>
        <v>111</v>
      </c>
      <c r="R13" s="700" t="s">
        <v>14</v>
      </c>
      <c r="S13" s="701">
        <f t="shared" si="0"/>
        <v>100</v>
      </c>
      <c r="T13" s="700" t="s">
        <v>14</v>
      </c>
      <c r="U13" s="701">
        <f t="shared" si="1"/>
        <v>100</v>
      </c>
      <c r="V13" s="700" t="s">
        <v>14</v>
      </c>
      <c r="W13" s="701">
        <f t="shared" si="2"/>
        <v>100</v>
      </c>
      <c r="X13" s="702"/>
      <c r="Y13" s="3573"/>
      <c r="Z13" s="3467">
        <f t="shared" si="7"/>
        <v>111</v>
      </c>
      <c r="AA13" s="703">
        <f t="shared" si="3"/>
        <v>1</v>
      </c>
      <c r="AB13" s="703">
        <f t="shared" si="4"/>
        <v>1</v>
      </c>
      <c r="AC13" s="1958">
        <f t="shared" si="5"/>
        <v>1</v>
      </c>
    </row>
    <row r="14" spans="1:29" ht="1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3"/>
      <c r="Q14" s="3468">
        <f t="shared" si="6"/>
        <v>111</v>
      </c>
      <c r="R14" s="700" t="s">
        <v>14</v>
      </c>
      <c r="S14" s="701">
        <f t="shared" si="0"/>
        <v>100</v>
      </c>
      <c r="T14" s="700" t="s">
        <v>14</v>
      </c>
      <c r="U14" s="701">
        <f t="shared" si="1"/>
        <v>100</v>
      </c>
      <c r="V14" s="700" t="s">
        <v>14</v>
      </c>
      <c r="W14" s="701">
        <f t="shared" si="2"/>
        <v>100</v>
      </c>
      <c r="X14" s="702"/>
      <c r="Y14" s="3573"/>
      <c r="Z14" s="3467">
        <f t="shared" si="7"/>
        <v>111</v>
      </c>
      <c r="AA14" s="703">
        <f t="shared" si="3"/>
        <v>1</v>
      </c>
      <c r="AB14" s="703">
        <f t="shared" si="4"/>
        <v>1</v>
      </c>
      <c r="AC14" s="1958">
        <f t="shared" si="5"/>
        <v>1</v>
      </c>
    </row>
    <row r="15" spans="1:29" ht="70">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9" t="s">
        <v>1691</v>
      </c>
      <c r="Q15" s="3470" t="str">
        <f t="shared" si="6"/>
        <v>办公集聚程度</v>
      </c>
      <c r="R15" s="704" t="s">
        <v>14</v>
      </c>
      <c r="S15" s="705">
        <f t="shared" si="0"/>
        <v>100</v>
      </c>
      <c r="T15" s="704" t="s">
        <v>14</v>
      </c>
      <c r="U15" s="705">
        <f t="shared" si="1"/>
        <v>100</v>
      </c>
      <c r="V15" s="704" t="s">
        <v>14</v>
      </c>
      <c r="W15" s="705">
        <f t="shared" si="2"/>
        <v>100</v>
      </c>
      <c r="X15" s="3472"/>
      <c r="Y15" s="3701" t="s">
        <v>1691</v>
      </c>
      <c r="Z15" s="3473" t="str">
        <f t="shared" si="7"/>
        <v>办公集聚程度</v>
      </c>
      <c r="AA15" s="3471">
        <f t="shared" si="3"/>
        <v>1</v>
      </c>
      <c r="AB15" s="3471">
        <f t="shared" si="4"/>
        <v>1</v>
      </c>
      <c r="AC15" s="1961">
        <f t="shared" si="5"/>
        <v>1</v>
      </c>
    </row>
    <row r="16" spans="1:29" ht="15.5">
      <c r="A16" s="379"/>
      <c r="B16" s="578"/>
      <c r="C16" s="1903" t="s">
        <v>3424</v>
      </c>
      <c r="D16" s="399"/>
      <c r="E16" s="1903" t="s">
        <v>3424</v>
      </c>
      <c r="F16" s="399"/>
      <c r="G16" s="1903" t="s">
        <v>3424</v>
      </c>
      <c r="H16" s="401"/>
      <c r="I16" s="1903" t="s">
        <v>3424</v>
      </c>
      <c r="J16" s="399"/>
      <c r="K16" s="564"/>
      <c r="L16" s="2719"/>
      <c r="M16" s="2713"/>
      <c r="N16" s="2713"/>
      <c r="O16" s="2713"/>
      <c r="P16" s="3700"/>
      <c r="Q16" s="3470"/>
      <c r="R16" s="704"/>
      <c r="S16" s="705"/>
      <c r="T16" s="704"/>
      <c r="U16" s="705"/>
      <c r="V16" s="704"/>
      <c r="W16" s="705"/>
      <c r="X16" s="3472"/>
      <c r="Y16" s="3702"/>
      <c r="Z16" s="3473"/>
      <c r="AA16" s="3471">
        <v>1</v>
      </c>
      <c r="AB16" s="3471">
        <v>1</v>
      </c>
      <c r="AC16" s="1961">
        <v>1</v>
      </c>
    </row>
    <row r="17" spans="1:29" ht="84">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0"/>
      <c r="Q17" s="3470" t="str">
        <f>B17</f>
        <v>交通便捷度</v>
      </c>
      <c r="R17" s="704" t="s">
        <v>14</v>
      </c>
      <c r="S17" s="705">
        <f>F17</f>
        <v>100</v>
      </c>
      <c r="T17" s="704" t="s">
        <v>14</v>
      </c>
      <c r="U17" s="705">
        <f>H17</f>
        <v>100</v>
      </c>
      <c r="V17" s="704" t="s">
        <v>14</v>
      </c>
      <c r="W17" s="705">
        <f>J17</f>
        <v>100</v>
      </c>
      <c r="X17" s="3472"/>
      <c r="Y17" s="3702"/>
      <c r="Z17" s="3473" t="str">
        <f>Q17</f>
        <v>交通便捷度</v>
      </c>
      <c r="AA17" s="3471">
        <f t="shared" si="3"/>
        <v>1</v>
      </c>
      <c r="AB17" s="3471">
        <f t="shared" si="4"/>
        <v>1</v>
      </c>
      <c r="AC17" s="1961">
        <f t="shared" si="5"/>
        <v>1</v>
      </c>
    </row>
    <row r="18" spans="1:29" ht="15.5">
      <c r="A18" s="379"/>
      <c r="B18" s="580"/>
      <c r="C18" s="1963" t="s">
        <v>3424</v>
      </c>
      <c r="D18" s="401"/>
      <c r="E18" s="1963" t="s">
        <v>3424</v>
      </c>
      <c r="F18" s="401"/>
      <c r="G18" s="1963" t="s">
        <v>3424</v>
      </c>
      <c r="H18" s="399"/>
      <c r="I18" s="1963" t="s">
        <v>3424</v>
      </c>
      <c r="J18" s="399"/>
      <c r="K18" s="564"/>
      <c r="L18" s="2719"/>
      <c r="M18" s="2713"/>
      <c r="N18" s="2713"/>
      <c r="O18" s="2713"/>
      <c r="P18" s="3700"/>
      <c r="Q18" s="3470"/>
      <c r="R18" s="704"/>
      <c r="S18" s="705"/>
      <c r="T18" s="704"/>
      <c r="U18" s="705"/>
      <c r="V18" s="704"/>
      <c r="W18" s="705"/>
      <c r="X18" s="3472"/>
      <c r="Y18" s="3702"/>
      <c r="Z18" s="3473"/>
      <c r="AA18" s="3471">
        <v>1</v>
      </c>
      <c r="AB18" s="3471">
        <v>1</v>
      </c>
      <c r="AC18" s="1961">
        <v>1</v>
      </c>
    </row>
    <row r="19" spans="1:29" ht="42">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0"/>
      <c r="Q19" s="3470" t="str">
        <f>B19</f>
        <v>公共配套设施</v>
      </c>
      <c r="R19" s="704" t="s">
        <v>14</v>
      </c>
      <c r="S19" s="705">
        <f>F19</f>
        <v>100</v>
      </c>
      <c r="T19" s="704" t="s">
        <v>14</v>
      </c>
      <c r="U19" s="705">
        <f>H19</f>
        <v>100</v>
      </c>
      <c r="V19" s="704" t="s">
        <v>14</v>
      </c>
      <c r="W19" s="705">
        <f>J19</f>
        <v>100</v>
      </c>
      <c r="X19" s="3472"/>
      <c r="Y19" s="3702"/>
      <c r="Z19" s="3473" t="str">
        <f>Q19</f>
        <v>公共配套设施</v>
      </c>
      <c r="AA19" s="3471">
        <f t="shared" si="3"/>
        <v>1</v>
      </c>
      <c r="AB19" s="3471">
        <f t="shared" si="4"/>
        <v>1</v>
      </c>
      <c r="AC19" s="1961">
        <f t="shared" si="5"/>
        <v>1</v>
      </c>
    </row>
    <row r="20" spans="1:29" ht="15.5">
      <c r="A20" s="379"/>
      <c r="B20" s="580"/>
      <c r="C20" s="1903" t="s">
        <v>3424</v>
      </c>
      <c r="D20" s="399"/>
      <c r="E20" s="1903" t="s">
        <v>3424</v>
      </c>
      <c r="F20" s="399"/>
      <c r="G20" s="1903" t="s">
        <v>3424</v>
      </c>
      <c r="H20" s="399"/>
      <c r="I20" s="1903" t="s">
        <v>3424</v>
      </c>
      <c r="J20" s="399"/>
      <c r="K20" s="564"/>
      <c r="L20" s="2719"/>
      <c r="M20" s="2713"/>
      <c r="N20" s="2713"/>
      <c r="O20" s="2713"/>
      <c r="P20" s="3700"/>
      <c r="Q20" s="3470"/>
      <c r="R20" s="704"/>
      <c r="S20" s="705"/>
      <c r="T20" s="704"/>
      <c r="U20" s="705"/>
      <c r="V20" s="704"/>
      <c r="W20" s="705"/>
      <c r="X20" s="3472"/>
      <c r="Y20" s="3702"/>
      <c r="Z20" s="3473"/>
      <c r="AA20" s="3471">
        <v>1</v>
      </c>
      <c r="AB20" s="3471">
        <v>1</v>
      </c>
      <c r="AC20" s="1961">
        <v>1</v>
      </c>
    </row>
    <row r="21" spans="1:29" ht="28">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0"/>
      <c r="Q21" s="3470" t="str">
        <f>B21</f>
        <v>基础设施水平</v>
      </c>
      <c r="R21" s="704" t="s">
        <v>14</v>
      </c>
      <c r="S21" s="705">
        <f>F21</f>
        <v>100</v>
      </c>
      <c r="T21" s="704" t="s">
        <v>14</v>
      </c>
      <c r="U21" s="705">
        <f>H21</f>
        <v>100</v>
      </c>
      <c r="V21" s="704" t="s">
        <v>14</v>
      </c>
      <c r="W21" s="705">
        <f>J21</f>
        <v>100</v>
      </c>
      <c r="X21" s="3472"/>
      <c r="Y21" s="3702"/>
      <c r="Z21" s="3473" t="str">
        <f>Q21</f>
        <v>基础设施水平</v>
      </c>
      <c r="AA21" s="3471">
        <f t="shared" ref="AA21" si="8">D21/F21</f>
        <v>1</v>
      </c>
      <c r="AB21" s="3471">
        <f t="shared" ref="AB21" si="9">D21/H21</f>
        <v>1</v>
      </c>
      <c r="AC21" s="1961">
        <f t="shared" ref="AC21" si="10">D21/J21</f>
        <v>1</v>
      </c>
    </row>
    <row r="22" spans="1:29" ht="15.5">
      <c r="A22" s="379"/>
      <c r="B22" s="581"/>
      <c r="C22" s="1963" t="s">
        <v>3440</v>
      </c>
      <c r="D22" s="399"/>
      <c r="E22" s="1963" t="s">
        <v>3440</v>
      </c>
      <c r="F22" s="399"/>
      <c r="G22" s="1963" t="s">
        <v>3440</v>
      </c>
      <c r="H22" s="399"/>
      <c r="I22" s="1963" t="s">
        <v>3440</v>
      </c>
      <c r="J22" s="399"/>
      <c r="K22" s="1129"/>
      <c r="L22" s="2719"/>
      <c r="M22" s="2713"/>
      <c r="N22" s="2713"/>
      <c r="O22" s="2713"/>
      <c r="P22" s="3700"/>
      <c r="Q22" s="3470"/>
      <c r="R22" s="704"/>
      <c r="S22" s="705"/>
      <c r="T22" s="704"/>
      <c r="U22" s="705"/>
      <c r="V22" s="704"/>
      <c r="W22" s="705"/>
      <c r="X22" s="3472"/>
      <c r="Y22" s="3702"/>
      <c r="Z22" s="3473"/>
      <c r="AA22" s="3471">
        <v>1</v>
      </c>
      <c r="AB22" s="3471">
        <v>1</v>
      </c>
      <c r="AC22" s="1961">
        <v>1</v>
      </c>
    </row>
    <row r="23" spans="1:29" ht="56">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0"/>
      <c r="Q23" s="3470" t="str">
        <f>B23</f>
        <v>环境质量</v>
      </c>
      <c r="R23" s="704" t="s">
        <v>14</v>
      </c>
      <c r="S23" s="705">
        <f>F23</f>
        <v>100</v>
      </c>
      <c r="T23" s="704" t="s">
        <v>14</v>
      </c>
      <c r="U23" s="705">
        <f>H23</f>
        <v>100</v>
      </c>
      <c r="V23" s="704" t="s">
        <v>14</v>
      </c>
      <c r="W23" s="705">
        <f>J23</f>
        <v>100</v>
      </c>
      <c r="X23" s="3472"/>
      <c r="Y23" s="3702"/>
      <c r="Z23" s="3473" t="str">
        <f>Q23</f>
        <v>环境质量</v>
      </c>
      <c r="AA23" s="3471">
        <f t="shared" si="3"/>
        <v>1</v>
      </c>
      <c r="AB23" s="3471">
        <f t="shared" si="4"/>
        <v>1</v>
      </c>
      <c r="AC23" s="1961">
        <f t="shared" si="5"/>
        <v>1</v>
      </c>
    </row>
    <row r="24" spans="1:29" ht="15.5">
      <c r="A24" s="379"/>
      <c r="B24" s="581"/>
      <c r="C24" s="1903" t="s">
        <v>3424</v>
      </c>
      <c r="D24" s="399"/>
      <c r="E24" s="1903" t="s">
        <v>3424</v>
      </c>
      <c r="F24" s="399"/>
      <c r="G24" s="1903" t="s">
        <v>3424</v>
      </c>
      <c r="H24" s="399"/>
      <c r="I24" s="1903" t="s">
        <v>3424</v>
      </c>
      <c r="J24" s="399"/>
      <c r="K24" s="564"/>
      <c r="L24" s="2719"/>
      <c r="M24" s="2713"/>
      <c r="N24" s="2713"/>
      <c r="O24" s="2713"/>
      <c r="P24" s="3700"/>
      <c r="Q24" s="3470"/>
      <c r="R24" s="704"/>
      <c r="S24" s="705"/>
      <c r="T24" s="704"/>
      <c r="U24" s="705"/>
      <c r="V24" s="704"/>
      <c r="W24" s="705"/>
      <c r="X24" s="3472"/>
      <c r="Y24" s="3702"/>
      <c r="Z24" s="3473"/>
      <c r="AA24" s="3471">
        <v>1</v>
      </c>
      <c r="AB24" s="3471">
        <v>1</v>
      </c>
      <c r="AC24" s="1961">
        <v>1</v>
      </c>
    </row>
    <row r="25" spans="1:29" ht="2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0"/>
      <c r="Q25" s="3470" t="str">
        <f>B25</f>
        <v>毗邻道路的类型与等级</v>
      </c>
      <c r="R25" s="704" t="s">
        <v>14</v>
      </c>
      <c r="S25" s="705">
        <f>F25</f>
        <v>100</v>
      </c>
      <c r="T25" s="704" t="s">
        <v>14</v>
      </c>
      <c r="U25" s="705">
        <f>H25</f>
        <v>100</v>
      </c>
      <c r="V25" s="704" t="s">
        <v>14</v>
      </c>
      <c r="W25" s="705">
        <f>J25</f>
        <v>100</v>
      </c>
      <c r="X25" s="3472"/>
      <c r="Y25" s="3702"/>
      <c r="Z25" s="3473" t="str">
        <f>Q25</f>
        <v>毗邻道路的类型与等级</v>
      </c>
      <c r="AA25" s="3471">
        <f t="shared" si="3"/>
        <v>1</v>
      </c>
      <c r="AB25" s="3471">
        <f t="shared" si="4"/>
        <v>1</v>
      </c>
      <c r="AC25" s="1961">
        <f t="shared" si="5"/>
        <v>1</v>
      </c>
    </row>
    <row r="26" spans="1:29" ht="15.5">
      <c r="A26" s="358"/>
      <c r="B26" s="580"/>
      <c r="C26" s="582"/>
      <c r="D26" s="386"/>
      <c r="E26" s="565"/>
      <c r="F26" s="386"/>
      <c r="G26" s="582"/>
      <c r="H26" s="386"/>
      <c r="I26" s="565"/>
      <c r="J26" s="386"/>
      <c r="K26" s="564"/>
      <c r="L26" s="2719"/>
      <c r="M26" s="2713"/>
      <c r="N26" s="2713"/>
      <c r="O26" s="2713"/>
      <c r="P26" s="3700"/>
      <c r="Q26" s="3470"/>
      <c r="R26" s="704"/>
      <c r="S26" s="705"/>
      <c r="T26" s="704"/>
      <c r="U26" s="705"/>
      <c r="V26" s="704"/>
      <c r="W26" s="705"/>
      <c r="X26" s="3472"/>
      <c r="Y26" s="3702"/>
      <c r="Z26" s="3473"/>
      <c r="AA26" s="3471">
        <v>1</v>
      </c>
      <c r="AB26" s="3471">
        <v>1</v>
      </c>
      <c r="AC26" s="1961">
        <v>1</v>
      </c>
    </row>
    <row r="27" spans="1:29" ht="15.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00"/>
      <c r="Q27" s="3470" t="str">
        <f t="shared" ref="Q27:Q47" si="11">B27</f>
        <v>楼层</v>
      </c>
      <c r="R27" s="704" t="s">
        <v>14</v>
      </c>
      <c r="S27" s="705">
        <f>F27</f>
        <v>102</v>
      </c>
      <c r="T27" s="704" t="s">
        <v>14</v>
      </c>
      <c r="U27" s="705">
        <f>H27</f>
        <v>102</v>
      </c>
      <c r="V27" s="704" t="s">
        <v>14</v>
      </c>
      <c r="W27" s="705">
        <f>J27</f>
        <v>102</v>
      </c>
      <c r="X27" s="3472"/>
      <c r="Y27" s="3702"/>
      <c r="Z27" s="3473" t="str">
        <f>Q27</f>
        <v>楼层</v>
      </c>
      <c r="AA27" s="3471">
        <f t="shared" si="3"/>
        <v>0.98039215686274506</v>
      </c>
      <c r="AB27" s="3471">
        <f t="shared" si="4"/>
        <v>0.98039215686274506</v>
      </c>
      <c r="AC27" s="1961">
        <f t="shared" si="5"/>
        <v>0.98039215686274506</v>
      </c>
    </row>
    <row r="28" spans="1:29" s="108" customFormat="1" ht="15.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0"/>
      <c r="Q28" s="3468" t="str">
        <f t="shared" si="11"/>
        <v>朝向</v>
      </c>
      <c r="R28" s="700" t="s">
        <v>14</v>
      </c>
      <c r="S28" s="701">
        <f>F28</f>
        <v>100</v>
      </c>
      <c r="T28" s="700" t="s">
        <v>14</v>
      </c>
      <c r="U28" s="701">
        <f>H28</f>
        <v>100</v>
      </c>
      <c r="V28" s="700" t="s">
        <v>14</v>
      </c>
      <c r="W28" s="701">
        <f>J28</f>
        <v>100</v>
      </c>
      <c r="X28" s="702"/>
      <c r="Y28" s="3702"/>
      <c r="Z28" s="3467" t="str">
        <f>Q28</f>
        <v>朝向</v>
      </c>
      <c r="AA28" s="3471">
        <f>D28/F28</f>
        <v>1</v>
      </c>
      <c r="AB28" s="3471">
        <f>D28/H28</f>
        <v>1</v>
      </c>
      <c r="AC28" s="1961">
        <f>D28/J28</f>
        <v>1</v>
      </c>
    </row>
    <row r="29" spans="1:29" ht="15.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00"/>
      <c r="Q29" s="3470">
        <f t="shared" si="11"/>
        <v>111</v>
      </c>
      <c r="R29" s="704" t="s">
        <v>14</v>
      </c>
      <c r="S29" s="705">
        <f t="shared" ref="S29:S47" si="12">F29</f>
        <v>100</v>
      </c>
      <c r="T29" s="704" t="s">
        <v>14</v>
      </c>
      <c r="U29" s="705">
        <f t="shared" ref="U29:U47" si="13">H29</f>
        <v>100</v>
      </c>
      <c r="V29" s="704" t="s">
        <v>14</v>
      </c>
      <c r="W29" s="705">
        <f t="shared" ref="W29:W47" si="14">J29</f>
        <v>100</v>
      </c>
      <c r="X29" s="3472"/>
      <c r="Y29" s="3702"/>
      <c r="Z29" s="3473">
        <f t="shared" ref="Z29:Z47" si="15">Q29</f>
        <v>111</v>
      </c>
      <c r="AA29" s="3471">
        <f t="shared" si="3"/>
        <v>1</v>
      </c>
      <c r="AB29" s="3471">
        <f t="shared" si="4"/>
        <v>1</v>
      </c>
      <c r="AC29" s="1961">
        <f t="shared" si="5"/>
        <v>1</v>
      </c>
    </row>
    <row r="30" spans="1:29" ht="15.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0"/>
      <c r="Q30" s="3470">
        <f t="shared" si="11"/>
        <v>111</v>
      </c>
      <c r="R30" s="704" t="s">
        <v>14</v>
      </c>
      <c r="S30" s="705">
        <f t="shared" si="12"/>
        <v>100</v>
      </c>
      <c r="T30" s="704" t="s">
        <v>14</v>
      </c>
      <c r="U30" s="705">
        <f t="shared" si="13"/>
        <v>100</v>
      </c>
      <c r="V30" s="704" t="s">
        <v>14</v>
      </c>
      <c r="W30" s="705">
        <f t="shared" si="14"/>
        <v>100</v>
      </c>
      <c r="X30" s="3472"/>
      <c r="Y30" s="3702"/>
      <c r="Z30" s="3473">
        <f t="shared" si="15"/>
        <v>111</v>
      </c>
      <c r="AA30" s="3471">
        <f t="shared" si="3"/>
        <v>1</v>
      </c>
      <c r="AB30" s="3471">
        <f t="shared" si="4"/>
        <v>1</v>
      </c>
      <c r="AC30" s="1961">
        <f t="shared" si="5"/>
        <v>1</v>
      </c>
    </row>
    <row r="31" spans="1:29" ht="15.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0"/>
      <c r="Q31" s="3470">
        <f t="shared" si="11"/>
        <v>111</v>
      </c>
      <c r="R31" s="704" t="s">
        <v>14</v>
      </c>
      <c r="S31" s="705">
        <f t="shared" si="12"/>
        <v>100</v>
      </c>
      <c r="T31" s="704" t="s">
        <v>14</v>
      </c>
      <c r="U31" s="705">
        <f t="shared" si="13"/>
        <v>100</v>
      </c>
      <c r="V31" s="704" t="s">
        <v>14</v>
      </c>
      <c r="W31" s="705">
        <f t="shared" si="14"/>
        <v>100</v>
      </c>
      <c r="X31" s="3472"/>
      <c r="Y31" s="3702"/>
      <c r="Z31" s="3473">
        <f t="shared" si="15"/>
        <v>111</v>
      </c>
      <c r="AA31" s="3471">
        <f t="shared" si="3"/>
        <v>1</v>
      </c>
      <c r="AB31" s="3471">
        <f t="shared" si="4"/>
        <v>1</v>
      </c>
      <c r="AC31" s="1961">
        <f t="shared" si="5"/>
        <v>1</v>
      </c>
    </row>
    <row r="32" spans="1:29" ht="1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0"/>
      <c r="Q32" s="3470">
        <f t="shared" si="11"/>
        <v>111</v>
      </c>
      <c r="R32" s="704" t="s">
        <v>14</v>
      </c>
      <c r="S32" s="705">
        <f t="shared" si="12"/>
        <v>100</v>
      </c>
      <c r="T32" s="704" t="s">
        <v>14</v>
      </c>
      <c r="U32" s="705">
        <f t="shared" si="13"/>
        <v>100</v>
      </c>
      <c r="V32" s="704" t="s">
        <v>14</v>
      </c>
      <c r="W32" s="705">
        <f t="shared" si="14"/>
        <v>100</v>
      </c>
      <c r="X32" s="3472"/>
      <c r="Y32" s="3702"/>
      <c r="Z32" s="3473">
        <f t="shared" si="15"/>
        <v>111</v>
      </c>
      <c r="AA32" s="3471">
        <f t="shared" si="3"/>
        <v>1</v>
      </c>
      <c r="AB32" s="3471">
        <f t="shared" si="4"/>
        <v>1</v>
      </c>
      <c r="AC32" s="1961">
        <f t="shared" si="5"/>
        <v>1</v>
      </c>
    </row>
    <row r="33" spans="1:29" ht="15.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3" t="s">
        <v>1696</v>
      </c>
      <c r="Q33" s="3470" t="str">
        <f t="shared" si="11"/>
        <v>建筑类型</v>
      </c>
      <c r="R33" s="704" t="s">
        <v>14</v>
      </c>
      <c r="S33" s="705">
        <f t="shared" si="12"/>
        <v>100</v>
      </c>
      <c r="T33" s="704" t="s">
        <v>14</v>
      </c>
      <c r="U33" s="705">
        <f t="shared" si="13"/>
        <v>100</v>
      </c>
      <c r="V33" s="704" t="s">
        <v>14</v>
      </c>
      <c r="W33" s="705">
        <f t="shared" si="14"/>
        <v>100</v>
      </c>
      <c r="X33" s="3472"/>
      <c r="Y33" s="3706" t="s">
        <v>1696</v>
      </c>
      <c r="Z33" s="3473" t="str">
        <f t="shared" si="15"/>
        <v>建筑类型</v>
      </c>
      <c r="AA33" s="3471">
        <f t="shared" si="3"/>
        <v>1</v>
      </c>
      <c r="AB33" s="3471">
        <f t="shared" si="4"/>
        <v>1</v>
      </c>
      <c r="AC33" s="1961">
        <f t="shared" si="5"/>
        <v>1</v>
      </c>
    </row>
    <row r="34" spans="1:29" s="422" customFormat="1" ht="15.5">
      <c r="A34" s="419"/>
      <c r="B34" s="375" t="s">
        <v>1697</v>
      </c>
      <c r="C34" s="420">
        <f>'数据-汇总表'!E3</f>
        <v>148.12</v>
      </c>
      <c r="D34" s="127">
        <v>100</v>
      </c>
      <c r="E34" s="381">
        <v>131.51</v>
      </c>
      <c r="F34" s="376">
        <f>LOOKUP(E34,104:104,105:105)-LOOKUP(C34,104:104,105:105)+100</f>
        <v>100</v>
      </c>
      <c r="G34" s="380">
        <v>151.36000000000001</v>
      </c>
      <c r="H34" s="127">
        <f>LOOKUP(G34,104:104,105:105)-LOOKUP(C34,104:104,105:105)+100</f>
        <v>100</v>
      </c>
      <c r="I34" s="380">
        <v>151.91</v>
      </c>
      <c r="J34" s="127">
        <f>LOOKUP(I34,104:104,105:105)-LOOKUP(C34,104:104,105:105)+100</f>
        <v>100</v>
      </c>
      <c r="K34" s="562"/>
      <c r="L34" s="2718"/>
      <c r="M34" s="2720"/>
      <c r="N34" s="2720"/>
      <c r="O34" s="2720"/>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3471">
        <f t="shared" si="3"/>
        <v>1</v>
      </c>
      <c r="AB34" s="3471">
        <f t="shared" si="4"/>
        <v>1</v>
      </c>
      <c r="AC34" s="1961">
        <f t="shared" si="5"/>
        <v>1</v>
      </c>
    </row>
    <row r="35" spans="1:29" ht="15.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4"/>
      <c r="Q35" s="3470" t="str">
        <f t="shared" si="11"/>
        <v>建筑结构</v>
      </c>
      <c r="R35" s="704" t="s">
        <v>14</v>
      </c>
      <c r="S35" s="705">
        <f t="shared" si="12"/>
        <v>100</v>
      </c>
      <c r="T35" s="704" t="s">
        <v>14</v>
      </c>
      <c r="U35" s="705">
        <f t="shared" si="13"/>
        <v>100</v>
      </c>
      <c r="V35" s="704" t="s">
        <v>14</v>
      </c>
      <c r="W35" s="705">
        <f t="shared" si="14"/>
        <v>100</v>
      </c>
      <c r="X35" s="3472"/>
      <c r="Y35" s="3706"/>
      <c r="Z35" s="3473" t="str">
        <f t="shared" si="15"/>
        <v>建筑结构</v>
      </c>
      <c r="AA35" s="3471">
        <f t="shared" si="3"/>
        <v>1</v>
      </c>
      <c r="AB35" s="3471">
        <f t="shared" si="4"/>
        <v>1</v>
      </c>
      <c r="AC35" s="1961">
        <f t="shared" si="5"/>
        <v>1</v>
      </c>
    </row>
    <row r="36" spans="1:29" ht="15.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4"/>
      <c r="Q36" s="3470" t="str">
        <f t="shared" si="11"/>
        <v>公共部分装修</v>
      </c>
      <c r="R36" s="704" t="s">
        <v>14</v>
      </c>
      <c r="S36" s="705">
        <f t="shared" si="12"/>
        <v>100</v>
      </c>
      <c r="T36" s="704" t="s">
        <v>14</v>
      </c>
      <c r="U36" s="705">
        <f t="shared" si="13"/>
        <v>100</v>
      </c>
      <c r="V36" s="704" t="s">
        <v>14</v>
      </c>
      <c r="W36" s="705">
        <f t="shared" si="14"/>
        <v>100</v>
      </c>
      <c r="X36" s="3472"/>
      <c r="Y36" s="3706"/>
      <c r="Z36" s="3473" t="str">
        <f t="shared" si="15"/>
        <v>公共部分装修</v>
      </c>
      <c r="AA36" s="3471">
        <f t="shared" si="3"/>
        <v>1</v>
      </c>
      <c r="AB36" s="3471">
        <f t="shared" si="4"/>
        <v>1</v>
      </c>
      <c r="AC36" s="1961">
        <f t="shared" si="5"/>
        <v>1</v>
      </c>
    </row>
    <row r="37" spans="1:29" ht="15.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G37</f>
        <v>0.83</v>
      </c>
      <c r="J37" s="386">
        <f>LOOKUP(I37,111:111,112:112)-LOOKUP(C37,111:111,112:112)+100</f>
        <v>100</v>
      </c>
      <c r="K37" s="561">
        <v>2</v>
      </c>
      <c r="L37" s="2719"/>
      <c r="M37" s="2713"/>
      <c r="N37" s="2713"/>
      <c r="O37" s="2713"/>
      <c r="P37" s="3704"/>
      <c r="Q37" s="3470" t="str">
        <f t="shared" si="11"/>
        <v>成新度</v>
      </c>
      <c r="R37" s="704" t="s">
        <v>14</v>
      </c>
      <c r="S37" s="705">
        <f t="shared" si="12"/>
        <v>100</v>
      </c>
      <c r="T37" s="704" t="s">
        <v>14</v>
      </c>
      <c r="U37" s="705">
        <f t="shared" si="13"/>
        <v>100</v>
      </c>
      <c r="V37" s="704" t="s">
        <v>14</v>
      </c>
      <c r="W37" s="705">
        <f t="shared" si="14"/>
        <v>100</v>
      </c>
      <c r="X37" s="3472"/>
      <c r="Y37" s="3706"/>
      <c r="Z37" s="3473" t="str">
        <f t="shared" si="15"/>
        <v>成新度</v>
      </c>
      <c r="AA37" s="3471">
        <f t="shared" si="3"/>
        <v>1</v>
      </c>
      <c r="AB37" s="3471">
        <f t="shared" si="4"/>
        <v>1</v>
      </c>
      <c r="AC37" s="1961">
        <f t="shared" si="5"/>
        <v>1</v>
      </c>
    </row>
    <row r="38" spans="1:29" s="108" customFormat="1" ht="15.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4"/>
      <c r="Q38" s="3468" t="str">
        <f t="shared" si="11"/>
        <v>写字楼等级</v>
      </c>
      <c r="R38" s="700" t="s">
        <v>14</v>
      </c>
      <c r="S38" s="701">
        <f t="shared" si="12"/>
        <v>100</v>
      </c>
      <c r="T38" s="700" t="s">
        <v>14</v>
      </c>
      <c r="U38" s="701">
        <f t="shared" si="13"/>
        <v>100</v>
      </c>
      <c r="V38" s="700" t="s">
        <v>14</v>
      </c>
      <c r="W38" s="701">
        <f t="shared" si="14"/>
        <v>100</v>
      </c>
      <c r="X38" s="702"/>
      <c r="Y38" s="3706"/>
      <c r="Z38" s="3467" t="str">
        <f t="shared" si="15"/>
        <v>写字楼等级</v>
      </c>
      <c r="AA38" s="703">
        <f t="shared" si="3"/>
        <v>1</v>
      </c>
      <c r="AB38" s="703">
        <f t="shared" si="4"/>
        <v>1</v>
      </c>
      <c r="AC38" s="1958">
        <f t="shared" si="5"/>
        <v>1</v>
      </c>
    </row>
    <row r="39" spans="1:29" ht="15.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4" t="s">
        <v>1696</v>
      </c>
      <c r="Q39" s="3470" t="str">
        <f t="shared" si="11"/>
        <v>物业管理</v>
      </c>
      <c r="R39" s="704" t="s">
        <v>14</v>
      </c>
      <c r="S39" s="705">
        <f t="shared" si="12"/>
        <v>100</v>
      </c>
      <c r="T39" s="704" t="s">
        <v>14</v>
      </c>
      <c r="U39" s="705">
        <f t="shared" si="13"/>
        <v>100</v>
      </c>
      <c r="V39" s="704" t="s">
        <v>14</v>
      </c>
      <c r="W39" s="705">
        <f t="shared" si="14"/>
        <v>100</v>
      </c>
      <c r="X39" s="3472"/>
      <c r="Y39" s="3706" t="s">
        <v>1696</v>
      </c>
      <c r="Z39" s="3473" t="str">
        <f t="shared" si="15"/>
        <v>物业管理</v>
      </c>
      <c r="AA39" s="3471">
        <f t="shared" si="3"/>
        <v>1</v>
      </c>
      <c r="AB39" s="3471">
        <f t="shared" si="4"/>
        <v>1</v>
      </c>
      <c r="AC39" s="1961">
        <f t="shared" si="5"/>
        <v>1</v>
      </c>
    </row>
    <row r="40" spans="1:29" ht="15.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04"/>
      <c r="Q40" s="3470" t="str">
        <f t="shared" si="11"/>
        <v>市政基础设施</v>
      </c>
      <c r="R40" s="704" t="s">
        <v>14</v>
      </c>
      <c r="S40" s="705">
        <f t="shared" si="12"/>
        <v>100</v>
      </c>
      <c r="T40" s="704" t="s">
        <v>14</v>
      </c>
      <c r="U40" s="705">
        <f t="shared" si="13"/>
        <v>100</v>
      </c>
      <c r="V40" s="704" t="s">
        <v>14</v>
      </c>
      <c r="W40" s="705">
        <f t="shared" si="14"/>
        <v>100</v>
      </c>
      <c r="X40" s="3472"/>
      <c r="Y40" s="3706"/>
      <c r="Z40" s="3473" t="str">
        <f t="shared" si="15"/>
        <v>市政基础设施</v>
      </c>
      <c r="AA40" s="3471">
        <f t="shared" si="3"/>
        <v>1</v>
      </c>
      <c r="AB40" s="3471">
        <f t="shared" si="4"/>
        <v>1</v>
      </c>
      <c r="AC40" s="1961">
        <f t="shared" si="5"/>
        <v>1</v>
      </c>
    </row>
    <row r="41" spans="1:29" ht="15.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4"/>
      <c r="Q41" s="3470" t="str">
        <f t="shared" si="11"/>
        <v>层高</v>
      </c>
      <c r="R41" s="704" t="s">
        <v>14</v>
      </c>
      <c r="S41" s="705">
        <f t="shared" si="12"/>
        <v>100</v>
      </c>
      <c r="T41" s="704" t="s">
        <v>14</v>
      </c>
      <c r="U41" s="705">
        <f t="shared" si="13"/>
        <v>100</v>
      </c>
      <c r="V41" s="704" t="s">
        <v>14</v>
      </c>
      <c r="W41" s="705">
        <f t="shared" si="14"/>
        <v>100</v>
      </c>
      <c r="X41" s="3472"/>
      <c r="Y41" s="3706"/>
      <c r="Z41" s="3473" t="str">
        <f t="shared" si="15"/>
        <v>层高</v>
      </c>
      <c r="AA41" s="3471">
        <f t="shared" si="3"/>
        <v>1</v>
      </c>
      <c r="AB41" s="3471">
        <f t="shared" si="4"/>
        <v>1</v>
      </c>
      <c r="AC41" s="1961">
        <f t="shared" si="5"/>
        <v>1</v>
      </c>
    </row>
    <row r="42" spans="1:29" s="422" customFormat="1" ht="15.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3471">
        <f t="shared" si="3"/>
        <v>1</v>
      </c>
      <c r="AB42" s="3471">
        <f t="shared" si="4"/>
        <v>1</v>
      </c>
      <c r="AC42" s="1961">
        <f t="shared" si="5"/>
        <v>1</v>
      </c>
    </row>
    <row r="43" spans="1:29" ht="15.5">
      <c r="A43" s="423"/>
      <c r="B43" s="375" t="s">
        <v>1792</v>
      </c>
      <c r="C43" s="411" t="s">
        <v>3532</v>
      </c>
      <c r="D43" s="386">
        <v>100</v>
      </c>
      <c r="E43" s="411" t="s">
        <v>3528</v>
      </c>
      <c r="F43" s="412">
        <f>SUMIF(123:123,E43,124:124)-SUMIF(123:123,C43,124:124)+100</f>
        <v>96</v>
      </c>
      <c r="G43" s="411" t="s">
        <v>3528</v>
      </c>
      <c r="H43" s="386">
        <f>SUMIF(123:123,G43,124:124)-SUMIF(123:123,C43,124:124)+100</f>
        <v>96</v>
      </c>
      <c r="I43" s="411" t="s">
        <v>3528</v>
      </c>
      <c r="J43" s="386">
        <f>SUMIF(123:123,I43,124:124)-SUMIF(123:123,C43,124:124)+100</f>
        <v>96</v>
      </c>
      <c r="K43" s="561">
        <v>2</v>
      </c>
      <c r="L43" s="2719"/>
      <c r="M43" s="2713"/>
      <c r="N43" s="2713"/>
      <c r="O43" s="2713"/>
      <c r="P43" s="3704"/>
      <c r="Q43" s="3470" t="str">
        <f t="shared" si="11"/>
        <v>内部装修</v>
      </c>
      <c r="R43" s="704" t="s">
        <v>14</v>
      </c>
      <c r="S43" s="705">
        <f t="shared" si="12"/>
        <v>96</v>
      </c>
      <c r="T43" s="704" t="s">
        <v>14</v>
      </c>
      <c r="U43" s="705">
        <f t="shared" si="13"/>
        <v>96</v>
      </c>
      <c r="V43" s="704" t="s">
        <v>14</v>
      </c>
      <c r="W43" s="705">
        <f t="shared" si="14"/>
        <v>96</v>
      </c>
      <c r="X43" s="3472"/>
      <c r="Y43" s="3706"/>
      <c r="Z43" s="3473" t="str">
        <f t="shared" si="15"/>
        <v>内部装修</v>
      </c>
      <c r="AA43" s="3471">
        <f t="shared" si="3"/>
        <v>1.0416666666666667</v>
      </c>
      <c r="AB43" s="3471">
        <f t="shared" si="4"/>
        <v>1.0416666666666667</v>
      </c>
      <c r="AC43" s="1961">
        <f t="shared" si="5"/>
        <v>1.0416666666666667</v>
      </c>
    </row>
    <row r="44" spans="1:29" ht="28">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04"/>
      <c r="Q44" s="3470" t="str">
        <f t="shared" si="11"/>
        <v>内部装修维护情况</v>
      </c>
      <c r="R44" s="704" t="s">
        <v>14</v>
      </c>
      <c r="S44" s="705">
        <f t="shared" si="12"/>
        <v>100</v>
      </c>
      <c r="T44" s="704" t="s">
        <v>14</v>
      </c>
      <c r="U44" s="705">
        <f t="shared" si="13"/>
        <v>100</v>
      </c>
      <c r="V44" s="704" t="s">
        <v>14</v>
      </c>
      <c r="W44" s="705">
        <f t="shared" si="14"/>
        <v>100</v>
      </c>
      <c r="X44" s="3472"/>
      <c r="Y44" s="3706"/>
      <c r="Z44" s="3473" t="str">
        <f t="shared" si="15"/>
        <v>内部装修维护情况</v>
      </c>
      <c r="AA44" s="3471">
        <f t="shared" si="3"/>
        <v>1</v>
      </c>
      <c r="AB44" s="3471">
        <f t="shared" si="4"/>
        <v>1</v>
      </c>
      <c r="AC44" s="1961">
        <f t="shared" si="5"/>
        <v>1</v>
      </c>
    </row>
    <row r="45" spans="1:29" s="108" customFormat="1" ht="15.5">
      <c r="A45" s="424"/>
      <c r="B45" s="1132">
        <v>111</v>
      </c>
      <c r="C45" s="420">
        <f>'数据-取费表'!N18</f>
        <v>2015</v>
      </c>
      <c r="D45" s="127">
        <v>100</v>
      </c>
      <c r="E45" s="383">
        <f>C45</f>
        <v>2015</v>
      </c>
      <c r="F45" s="376">
        <f>SUMIF(127:127,E45,128:128)-SUMIF(127:127,C45,128:128)+100</f>
        <v>100</v>
      </c>
      <c r="G45" s="383">
        <f>C45</f>
        <v>2015</v>
      </c>
      <c r="H45" s="127">
        <f>SUMIF(127:127,G45,128:128)-SUMIF(127:127,C45,128:128)+100</f>
        <v>100</v>
      </c>
      <c r="I45" s="383">
        <v>2015</v>
      </c>
      <c r="J45" s="127">
        <f>SUMIF(127:127,I45,128:128)-SUMIF(127:127,C45,128:128)+100</f>
        <v>100</v>
      </c>
      <c r="K45" s="562"/>
      <c r="L45" s="2714"/>
      <c r="M45" s="2715"/>
      <c r="N45" s="2715"/>
      <c r="O45" s="2715"/>
      <c r="P45" s="3704"/>
      <c r="Q45" s="3468">
        <f t="shared" si="11"/>
        <v>111</v>
      </c>
      <c r="R45" s="700" t="s">
        <v>14</v>
      </c>
      <c r="S45" s="701">
        <f t="shared" si="12"/>
        <v>100</v>
      </c>
      <c r="T45" s="700" t="s">
        <v>14</v>
      </c>
      <c r="U45" s="701">
        <f t="shared" si="13"/>
        <v>100</v>
      </c>
      <c r="V45" s="700" t="s">
        <v>14</v>
      </c>
      <c r="W45" s="701">
        <f t="shared" si="14"/>
        <v>100</v>
      </c>
      <c r="X45" s="702"/>
      <c r="Y45" s="3706"/>
      <c r="Z45" s="3467">
        <f t="shared" si="15"/>
        <v>111</v>
      </c>
      <c r="AA45" s="703">
        <f t="shared" si="3"/>
        <v>1</v>
      </c>
      <c r="AB45" s="703">
        <f t="shared" si="4"/>
        <v>1</v>
      </c>
      <c r="AC45" s="1958">
        <f t="shared" si="5"/>
        <v>1</v>
      </c>
    </row>
    <row r="46" spans="1:29" ht="15.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4"/>
      <c r="Q46" s="3470">
        <f t="shared" si="11"/>
        <v>111</v>
      </c>
      <c r="R46" s="704" t="s">
        <v>14</v>
      </c>
      <c r="S46" s="705">
        <f t="shared" si="12"/>
        <v>100</v>
      </c>
      <c r="T46" s="704" t="s">
        <v>14</v>
      </c>
      <c r="U46" s="705">
        <f t="shared" si="13"/>
        <v>100</v>
      </c>
      <c r="V46" s="704" t="s">
        <v>14</v>
      </c>
      <c r="W46" s="705">
        <f t="shared" si="14"/>
        <v>100</v>
      </c>
      <c r="X46" s="3472"/>
      <c r="Y46" s="3706"/>
      <c r="Z46" s="3473">
        <f t="shared" si="15"/>
        <v>111</v>
      </c>
      <c r="AA46" s="3471">
        <f t="shared" si="3"/>
        <v>1</v>
      </c>
      <c r="AB46" s="3471">
        <f t="shared" si="4"/>
        <v>1</v>
      </c>
      <c r="AC46" s="1961">
        <f t="shared" si="5"/>
        <v>1</v>
      </c>
    </row>
    <row r="47" spans="1:29" ht="1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5"/>
      <c r="Q47" s="3470">
        <f t="shared" si="11"/>
        <v>111</v>
      </c>
      <c r="R47" s="704" t="s">
        <v>14</v>
      </c>
      <c r="S47" s="705">
        <f t="shared" si="12"/>
        <v>100</v>
      </c>
      <c r="T47" s="704" t="s">
        <v>14</v>
      </c>
      <c r="U47" s="705">
        <f t="shared" si="13"/>
        <v>100</v>
      </c>
      <c r="V47" s="704" t="s">
        <v>14</v>
      </c>
      <c r="W47" s="705">
        <f t="shared" si="14"/>
        <v>100</v>
      </c>
      <c r="X47" s="3472"/>
      <c r="Y47" s="3707"/>
      <c r="Z47" s="3473">
        <f t="shared" si="15"/>
        <v>111</v>
      </c>
      <c r="AA47" s="3471">
        <f t="shared" si="3"/>
        <v>1</v>
      </c>
      <c r="AB47" s="3471">
        <f t="shared" si="4"/>
        <v>1</v>
      </c>
      <c r="AC47" s="1961">
        <f t="shared" si="5"/>
        <v>1</v>
      </c>
    </row>
    <row r="48" spans="1:29">
      <c r="A48" s="430" t="s">
        <v>1708</v>
      </c>
      <c r="B48" s="431"/>
      <c r="C48" s="1153" t="s">
        <v>0</v>
      </c>
      <c r="D48" s="1154"/>
      <c r="E48" s="1155">
        <v>2.8</v>
      </c>
      <c r="F48" s="1156"/>
      <c r="G48" s="1157">
        <v>2.8</v>
      </c>
      <c r="H48" s="1158"/>
      <c r="I48" s="1155">
        <v>2.8</v>
      </c>
      <c r="J48" s="436"/>
      <c r="K48" s="713"/>
      <c r="L48" s="2721"/>
      <c r="M48" s="2713"/>
      <c r="N48" s="2713"/>
      <c r="O48" s="2713"/>
      <c r="P48" s="3693" t="str">
        <f>A48</f>
        <v>成交单价（元/平方米）</v>
      </c>
      <c r="Q48" s="3694"/>
      <c r="R48" s="3695">
        <f>E48</f>
        <v>2.8</v>
      </c>
      <c r="S48" s="3695"/>
      <c r="T48" s="3695">
        <f>G48</f>
        <v>2.8</v>
      </c>
      <c r="U48" s="3695"/>
      <c r="V48" s="3695">
        <f>I48</f>
        <v>2.8</v>
      </c>
      <c r="W48" s="3695"/>
      <c r="X48" s="397"/>
      <c r="Y48" s="711"/>
      <c r="Z48" s="397"/>
      <c r="AA48" s="397"/>
      <c r="AB48" s="397"/>
      <c r="AC48" s="578"/>
    </row>
    <row r="49" spans="1:29" ht="14.5" thickBot="1">
      <c r="A49" s="437" t="s">
        <v>1709</v>
      </c>
      <c r="B49" s="438"/>
      <c r="C49" s="1159">
        <f>R50</f>
        <v>2.8</v>
      </c>
      <c r="D49" s="2316" t="s">
        <v>2137</v>
      </c>
      <c r="E49" s="1160">
        <f>R49</f>
        <v>2.8</v>
      </c>
      <c r="F49" s="2317"/>
      <c r="G49" s="1159">
        <f>T49</f>
        <v>2.8</v>
      </c>
      <c r="H49" s="2317"/>
      <c r="I49" s="1160">
        <f>V49</f>
        <v>2.8</v>
      </c>
      <c r="J49" s="2317"/>
      <c r="K49" s="2319">
        <f>F49+H49+J49</f>
        <v>0</v>
      </c>
      <c r="L49" s="2721"/>
      <c r="M49" s="2713"/>
      <c r="N49" s="2713"/>
      <c r="O49" s="2713"/>
      <c r="P49" s="3693" t="str">
        <f>A49</f>
        <v>比较价值（元/平方米）</v>
      </c>
      <c r="Q49" s="3694"/>
      <c r="R49" s="3695">
        <f>IF(F1="售价",ROUND(PRODUCT(R48,AA7:AA47),0),ROUND(PRODUCT(R48,AA7:AA47),1))</f>
        <v>2.8</v>
      </c>
      <c r="S49" s="3695"/>
      <c r="T49" s="3695">
        <f>IF(F1="售价",ROUND(PRODUCT(T48,AB7:AB47),0),ROUND(PRODUCT(T48,AB7:AB47),1))</f>
        <v>2.8</v>
      </c>
      <c r="U49" s="3695"/>
      <c r="V49" s="3695">
        <f>IF(F1="售价",ROUND(PRODUCT(V48,AC7:AC47),0),ROUND(PRODUCT(V48,AC7:AC47),1))</f>
        <v>2.8</v>
      </c>
      <c r="W49" s="3695"/>
      <c r="X49" s="397"/>
      <c r="Y49" s="397"/>
      <c r="Z49" s="397"/>
      <c r="AA49" s="397"/>
      <c r="AB49" s="397"/>
      <c r="AC49" s="578"/>
    </row>
    <row r="50" spans="1:29" ht="14.5" thickBot="1">
      <c r="A50" s="441" t="s">
        <v>1710</v>
      </c>
      <c r="B50" s="442"/>
      <c r="C50" s="1162">
        <f>R50</f>
        <v>2.8</v>
      </c>
      <c r="D50" s="1162"/>
      <c r="E50" s="1162"/>
      <c r="F50" s="1162"/>
      <c r="G50" s="1162"/>
      <c r="H50" s="1162"/>
      <c r="I50" s="1162"/>
      <c r="J50" s="443"/>
      <c r="K50" s="714"/>
      <c r="L50" s="2721"/>
      <c r="M50" s="2713"/>
      <c r="N50" s="2713"/>
      <c r="O50" s="2713"/>
      <c r="P50" s="3696" t="str">
        <f>A50</f>
        <v>估价对象XX用房的比较价值（楼面单价，元/平方米）</v>
      </c>
      <c r="Q50" s="3697"/>
      <c r="R50" s="3698">
        <f>IF(F1="售价",ROUND(IF(D49="简单平均",AVERAGE(R49:V49),R49*F49+T49*H49+V49*J49),0),ROUND(IF(D49="简单平均",AVERAGE(R49:V49),R49*F49+T49*H49+V49*J49),1))</f>
        <v>2.8</v>
      </c>
      <c r="S50" s="3698"/>
      <c r="T50" s="3698"/>
      <c r="U50" s="3698"/>
      <c r="V50" s="3698"/>
      <c r="W50" s="3698"/>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4.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4.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8.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4.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4.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4.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4.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4.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4.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4.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8.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4.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4.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4.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4.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4.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4.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4.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4.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4.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4.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4.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4.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4.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4.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4.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4.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1"/>
      <c r="O124" s="2751"/>
      <c r="P124" s="2759"/>
      <c r="Q124" s="2736"/>
      <c r="R124" s="2722"/>
      <c r="S124" s="2722"/>
      <c r="T124" s="2722"/>
      <c r="U124" s="2722"/>
      <c r="V124" s="2722"/>
      <c r="W124" s="2722"/>
      <c r="X124" s="2722"/>
      <c r="Y124" s="2722"/>
      <c r="Z124" s="2722"/>
      <c r="AA124" s="2722"/>
      <c r="AB124" s="2722"/>
      <c r="AC124" s="2722"/>
    </row>
    <row r="125" spans="1:29" ht="28.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39" sqref="K39"/>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0.08984375" style="1467" customWidth="1"/>
    <col min="12" max="12" width="16.36328125" style="258" customWidth="1"/>
    <col min="13" max="13" width="13" style="258" customWidth="1"/>
    <col min="14" max="14" width="13.7265625" style="1383" customWidth="1"/>
    <col min="15" max="15" width="5.08984375" style="1383" customWidth="1"/>
    <col min="16" max="16" width="25.7265625" style="1383" customWidth="1"/>
    <col min="17" max="17" width="13.7265625" style="1383" customWidth="1"/>
    <col min="18" max="18" width="20.453125" style="1383" customWidth="1"/>
    <col min="19" max="19" width="13.26953125" style="1383" customWidth="1"/>
    <col min="20" max="37" width="9" style="1383"/>
    <col min="38" max="16384" width="9" style="258"/>
  </cols>
  <sheetData>
    <row r="1" spans="1:37" s="293" customFormat="1" ht="21">
      <c r="A1" s="1374" t="s">
        <v>877</v>
      </c>
      <c r="B1" s="712"/>
      <c r="C1" s="1378" t="s">
        <v>21</v>
      </c>
      <c r="D1" s="1361" t="s">
        <v>43</v>
      </c>
      <c r="E1" s="1362" t="s">
        <v>678</v>
      </c>
      <c r="F1" s="1061">
        <f ca="1">J53</f>
        <v>38.130000000000003</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230.98259999999999</v>
      </c>
      <c r="C2" s="1386" t="s">
        <v>879</v>
      </c>
      <c r="D2" s="1470">
        <f ca="1">C40+J29+L46</f>
        <v>2309826</v>
      </c>
      <c r="E2" s="1387" t="s">
        <v>880</v>
      </c>
      <c r="F2" s="1388"/>
      <c r="G2" s="2703"/>
      <c r="H2" s="2692"/>
      <c r="I2" s="2692"/>
      <c r="J2" s="2692"/>
      <c r="K2" s="2693"/>
      <c r="L2" s="2692"/>
      <c r="M2" s="2692"/>
    </row>
    <row r="3" spans="1:37" ht="18" customHeight="1" thickBot="1">
      <c r="A3" s="1389" t="s">
        <v>881</v>
      </c>
      <c r="B3" s="1390">
        <f ca="1">IF(ISERROR(D2/F43),0,ROUND(D2/F43,0))</f>
        <v>15594</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136411</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136241</v>
      </c>
      <c r="D6" s="155" t="s">
        <v>2105</v>
      </c>
      <c r="E6" s="302" t="s">
        <v>696</v>
      </c>
      <c r="F6" s="303">
        <f ca="1">INDIRECT("'数据-取费表'!u"&amp;$G$1)</f>
        <v>2.8</v>
      </c>
      <c r="G6" s="1383"/>
      <c r="H6" s="1068" t="s">
        <v>398</v>
      </c>
      <c r="I6" s="3671" t="s">
        <v>694</v>
      </c>
      <c r="J6" s="301">
        <f ca="1">ROUND(M6*M8*M7*(1-M9),0)</f>
        <v>0</v>
      </c>
      <c r="K6" s="1375" t="s">
        <v>2106</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148.12</v>
      </c>
      <c r="G7" s="1383"/>
      <c r="H7" s="304"/>
      <c r="I7" s="3672"/>
      <c r="J7" s="306"/>
      <c r="K7" s="307"/>
      <c r="L7" s="302" t="s">
        <v>697</v>
      </c>
      <c r="M7" s="303">
        <f ca="1">F7</f>
        <v>148.12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683741</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562856</v>
      </c>
      <c r="D14" s="1344" t="s">
        <v>708</v>
      </c>
      <c r="E14" s="1341"/>
      <c r="F14" s="319"/>
      <c r="G14" s="1383"/>
      <c r="H14" s="981" t="s">
        <v>398</v>
      </c>
      <c r="I14" s="302" t="s">
        <v>709</v>
      </c>
      <c r="J14" s="21">
        <f ca="1">C29</f>
        <v>823784</v>
      </c>
      <c r="K14" s="12"/>
      <c r="L14" s="806"/>
      <c r="M14" s="807"/>
    </row>
    <row r="15" spans="1:37" s="1396" customFormat="1" ht="18" customHeight="1" thickBot="1">
      <c r="A15" s="981" t="s">
        <v>399</v>
      </c>
      <c r="B15" s="302" t="s">
        <v>710</v>
      </c>
      <c r="C15" s="21">
        <f ca="1">ROUND(C14*F15,0)</f>
        <v>28143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1648</v>
      </c>
      <c r="K16" s="1086" t="s">
        <v>715</v>
      </c>
      <c r="L16" s="1087"/>
      <c r="M16" s="1071"/>
    </row>
    <row r="17" spans="1:37" s="1396" customFormat="1" ht="18" customHeight="1">
      <c r="A17" s="981" t="s">
        <v>681</v>
      </c>
      <c r="B17" s="302" t="s">
        <v>716</v>
      </c>
      <c r="C17" s="21">
        <f ca="1">ROUND(F17*(F43+INDIRECT("'数据-取费表'!S"&amp;$G$1)),0)</f>
        <v>29624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11257</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631880</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12638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1648</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19980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-1648</v>
      </c>
      <c r="K25" s="1094" t="s">
        <v>753</v>
      </c>
      <c r="L25" s="1095"/>
      <c r="M25" s="1096"/>
    </row>
    <row r="26" spans="1:37" ht="18" customHeight="1">
      <c r="A26" s="981" t="s">
        <v>397</v>
      </c>
      <c r="B26" s="302" t="s">
        <v>754</v>
      </c>
      <c r="C26" s="21">
        <f ca="1">ROUND((C19+C20)*F26,0)</f>
        <v>96678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823784</v>
      </c>
      <c r="D29" s="1091"/>
      <c r="E29" s="1089"/>
      <c r="F29" s="1092"/>
      <c r="G29" s="1395"/>
      <c r="H29" s="334" t="s">
        <v>396</v>
      </c>
      <c r="I29" s="335" t="s">
        <v>768</v>
      </c>
      <c r="J29" s="336">
        <f ca="1">ROUND(J26/(1+F40)^F41,0)</f>
        <v>0</v>
      </c>
      <c r="K29" s="337" t="s">
        <v>769</v>
      </c>
      <c r="L29" s="338"/>
      <c r="M29" s="339">
        <f ca="1">INDIRECT("'数据-取费表'!k"&amp;$G$1)</f>
        <v>148.12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25720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22706</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7136</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15570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1648</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684</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682</v>
      </c>
      <c r="D38" s="1091" t="s">
        <v>748</v>
      </c>
      <c r="E38" s="1089" t="s">
        <v>744</v>
      </c>
      <c r="F38" s="1085">
        <f ca="1">INDIRECT("'数据-取费表'!Am"&amp;$G$1)</f>
        <v>5.0000000000000001E-3</v>
      </c>
      <c r="G38" s="1383"/>
      <c r="H38" s="2697"/>
      <c r="I38" s="1397"/>
      <c r="J38" s="1398"/>
      <c r="K38" s="2701"/>
      <c r="L38" s="2697"/>
      <c r="M38" s="2697"/>
    </row>
    <row r="39" spans="1:18" ht="24.65" customHeight="1" thickTop="1">
      <c r="A39" s="1078" t="s">
        <v>394</v>
      </c>
      <c r="B39" s="1093" t="s">
        <v>772</v>
      </c>
      <c r="C39" s="310">
        <f ca="1">C5-C30</f>
        <v>110691</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2288920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38.130000000000003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15453</v>
      </c>
      <c r="D43" s="337" t="s">
        <v>777</v>
      </c>
      <c r="E43" s="338" t="s">
        <v>778</v>
      </c>
      <c r="F43" s="339">
        <f ca="1">INDIRECT("'数据-取费表'!k"&amp;$G$1)</f>
        <v>148.12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-232.58150000000001</v>
      </c>
      <c r="D45" s="3429" t="s">
        <v>3350</v>
      </c>
      <c r="E45" s="1399"/>
      <c r="F45" s="1399"/>
      <c r="O45" s="1402" t="s">
        <v>808</v>
      </c>
      <c r="P45" s="1460"/>
      <c r="Q45" s="1460"/>
      <c r="R45" s="1460"/>
    </row>
    <row r="46" spans="1:18" s="1383" customFormat="1" ht="14" thickBot="1">
      <c r="A46" s="1403" t="s">
        <v>809</v>
      </c>
      <c r="C46" s="1404">
        <f ca="1">ROUND(C45,0)</f>
        <v>-233</v>
      </c>
      <c r="D46" s="1405" t="str">
        <f>C2</f>
        <v>万元</v>
      </c>
      <c r="I46" s="1406" t="s">
        <v>810</v>
      </c>
      <c r="J46" s="1407"/>
      <c r="K46" s="1408"/>
      <c r="L46" s="1409">
        <f ca="1">IF(M47="住宅",0,IF(L48&gt;J51,L60,J60))</f>
        <v>20906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2288920</v>
      </c>
      <c r="R47" s="1419" t="s">
        <v>818</v>
      </c>
    </row>
    <row r="48" spans="1:18" s="1383" customFormat="1" ht="43.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38.130000000000003</v>
      </c>
      <c r="O48" s="1417" t="s">
        <v>404</v>
      </c>
      <c r="P48" s="1418" t="s">
        <v>821</v>
      </c>
      <c r="Q48" s="1419">
        <f ca="1">J60</f>
        <v>20906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2015</v>
      </c>
      <c r="K49" s="1422" t="s">
        <v>824</v>
      </c>
      <c r="L49" s="1426"/>
      <c r="O49" s="1427" t="s">
        <v>405</v>
      </c>
      <c r="P49" s="1418" t="s">
        <v>825</v>
      </c>
      <c r="Q49" s="1419">
        <f ca="1">C29</f>
        <v>823784</v>
      </c>
      <c r="R49" s="1419" t="s">
        <v>818</v>
      </c>
    </row>
    <row r="50" spans="1:18" s="1383" customFormat="1" ht="13.5" thickBot="1">
      <c r="A50" s="975"/>
      <c r="B50" s="978"/>
      <c r="C50" s="979"/>
      <c r="D50" s="952"/>
      <c r="E50" s="1055" t="s">
        <v>697</v>
      </c>
      <c r="F50" s="1056">
        <f ca="1">F7</f>
        <v>148.12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1147004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38.130000000000003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38.130000000000003</v>
      </c>
      <c r="K53" s="3669" t="s">
        <v>837</v>
      </c>
      <c r="L53" s="3670"/>
      <c r="O53" s="1417" t="s">
        <v>409</v>
      </c>
      <c r="P53" s="1418" t="s">
        <v>838</v>
      </c>
      <c r="Q53" s="1419">
        <f ca="1">Q47+Q48</f>
        <v>2309826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0.19800000000000001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683741</v>
      </c>
      <c r="D56" s="1446"/>
      <c r="E56" s="1447"/>
      <c r="F56" s="1439"/>
      <c r="I56" s="1448" t="s">
        <v>842</v>
      </c>
      <c r="J56" s="1449" t="s">
        <v>3407</v>
      </c>
      <c r="K56" s="1420" t="s">
        <v>843</v>
      </c>
      <c r="L56" s="1423" t="str">
        <f ca="1">IF(L48&lt;J51,"——",L48-J51)</f>
        <v>——</v>
      </c>
      <c r="O56" s="1417" t="s">
        <v>403</v>
      </c>
      <c r="P56" s="1418" t="s">
        <v>817</v>
      </c>
      <c r="Q56" s="1419">
        <f ca="1">C40+J29</f>
        <v>2288920</v>
      </c>
      <c r="R56" s="1419" t="s">
        <v>818</v>
      </c>
    </row>
    <row r="57" spans="1:18" s="1383" customFormat="1" ht="26.5" thickBot="1">
      <c r="A57" s="1450"/>
      <c r="B57" s="949" t="s">
        <v>767</v>
      </c>
      <c r="C57" s="238">
        <f ca="1">C29</f>
        <v>823784</v>
      </c>
      <c r="D57" s="1451"/>
      <c r="E57" s="1452"/>
      <c r="F57" s="1453"/>
      <c r="I57" s="1454" t="s">
        <v>844</v>
      </c>
      <c r="J57" s="1455">
        <f ca="1">IF(OR(M47="住宅",J51&lt;L48,J56="是"),"——",J51-L48)</f>
        <v>11.869999999999997</v>
      </c>
      <c r="K57" s="1420" t="s">
        <v>892</v>
      </c>
      <c r="L57" s="1423" t="str">
        <f ca="1">IF(L48&lt;J51,"——",IF(L55="比较法",L49,IF(L55="基准地价",L50,L51)))</f>
        <v>——</v>
      </c>
      <c r="O57" s="1417" t="s">
        <v>404</v>
      </c>
      <c r="P57" s="1418" t="s">
        <v>893</v>
      </c>
      <c r="Q57" s="1419">
        <f ca="1">L60</f>
        <v>0</v>
      </c>
      <c r="R57" s="1419" t="s">
        <v>894</v>
      </c>
    </row>
    <row r="58" spans="1:18" s="1383" customFormat="1" ht="26.5" thickBot="1">
      <c r="A58" s="315" t="s">
        <v>393</v>
      </c>
      <c r="B58" s="957" t="s">
        <v>714</v>
      </c>
      <c r="C58" s="316">
        <f ca="1">ROUND(C59+C64+C65+C66,0)</f>
        <v>2332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6.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329514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20906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2288920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1648</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684</v>
      </c>
      <c r="D65" s="963" t="s">
        <v>743</v>
      </c>
      <c r="E65" s="949" t="s">
        <v>744</v>
      </c>
      <c r="F65" s="330">
        <f t="shared" ca="1" si="0"/>
        <v>1E-3</v>
      </c>
      <c r="I65" s="1461" t="s">
        <v>867</v>
      </c>
      <c r="J65" s="1462">
        <v>40</v>
      </c>
      <c r="K65" s="1462">
        <v>30</v>
      </c>
      <c r="L65" s="1462">
        <v>50</v>
      </c>
      <c r="M65" s="1464">
        <v>0.02</v>
      </c>
      <c r="O65" s="1417" t="s">
        <v>403</v>
      </c>
      <c r="P65" s="1418" t="s">
        <v>868</v>
      </c>
      <c r="Q65" s="1419">
        <f ca="1">C40+J29</f>
        <v>2288920</v>
      </c>
      <c r="R65" s="1419" t="s">
        <v>818</v>
      </c>
    </row>
    <row r="66" spans="1:18" s="1383" customFormat="1" ht="16"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26.5" thickBot="1">
      <c r="A67" s="956" t="s">
        <v>394</v>
      </c>
      <c r="B67" s="966" t="s">
        <v>752</v>
      </c>
      <c r="C67" s="316">
        <f ca="1">C48-C58</f>
        <v>-2332</v>
      </c>
      <c r="D67" s="962" t="s">
        <v>753</v>
      </c>
      <c r="E67" s="967"/>
      <c r="F67" s="968"/>
      <c r="O67" s="1427" t="s">
        <v>405</v>
      </c>
      <c r="P67" s="1418" t="s">
        <v>850</v>
      </c>
      <c r="Q67" s="1465">
        <f ca="1">L51</f>
        <v>1147004</v>
      </c>
      <c r="R67" s="1419" t="s">
        <v>870</v>
      </c>
    </row>
    <row r="68" spans="1:18" s="1383" customFormat="1" ht="16" thickBot="1">
      <c r="A68" s="946" t="s">
        <v>395</v>
      </c>
      <c r="B68" s="947" t="s">
        <v>774</v>
      </c>
      <c r="C68" s="301">
        <f ca="1">ROUND(C67*(1-((1+F70)/(1+F68))^F69)/(F68-F70),0)</f>
        <v>-36895</v>
      </c>
      <c r="D68" s="964" t="s">
        <v>758</v>
      </c>
      <c r="E68" s="949" t="s">
        <v>759</v>
      </c>
      <c r="F68" s="312">
        <f ca="1">F40</f>
        <v>5.5E-2</v>
      </c>
      <c r="O68" s="1427" t="s">
        <v>406</v>
      </c>
      <c r="P68" s="1466" t="s">
        <v>871</v>
      </c>
      <c r="Q68" s="1419">
        <f ca="1">ROUND(Q69-Q70*Q71,0)</f>
        <v>62829</v>
      </c>
      <c r="R68" s="1419" t="s">
        <v>414</v>
      </c>
    </row>
    <row r="69" spans="1:18" s="1383" customFormat="1" ht="13.5" thickBot="1">
      <c r="A69" s="950"/>
      <c r="B69" s="951"/>
      <c r="C69" s="306"/>
      <c r="D69" s="969" t="s">
        <v>762</v>
      </c>
      <c r="E69" s="949" t="s">
        <v>763</v>
      </c>
      <c r="F69" s="333">
        <f ca="1">F41</f>
        <v>38.130000000000003</v>
      </c>
      <c r="O69" s="1427" t="s">
        <v>411</v>
      </c>
      <c r="P69" s="1466" t="s">
        <v>872</v>
      </c>
      <c r="Q69" s="1419">
        <f ca="1">C39</f>
        <v>110691</v>
      </c>
      <c r="R69" s="1419" t="s">
        <v>818</v>
      </c>
    </row>
    <row r="70" spans="1:18" s="1383" customFormat="1" ht="13.5" thickBot="1">
      <c r="A70" s="953"/>
      <c r="B70" s="954"/>
      <c r="C70" s="310"/>
      <c r="D70" s="965"/>
      <c r="E70" s="949" t="s">
        <v>766</v>
      </c>
      <c r="F70" s="1053"/>
      <c r="O70" s="1427" t="s">
        <v>412</v>
      </c>
      <c r="P70" s="1466" t="s">
        <v>873</v>
      </c>
      <c r="Q70" s="1419">
        <f ca="1">C13</f>
        <v>683741</v>
      </c>
      <c r="R70" s="1419" t="s">
        <v>818</v>
      </c>
    </row>
    <row r="71" spans="1:18" s="1383" customFormat="1" ht="13.5" thickBot="1">
      <c r="A71" s="970" t="s">
        <v>396</v>
      </c>
      <c r="B71" s="971" t="s">
        <v>776</v>
      </c>
      <c r="C71" s="336">
        <f ca="1">ROUND(C68/F71,0)</f>
        <v>-249</v>
      </c>
      <c r="D71" s="972" t="s">
        <v>777</v>
      </c>
      <c r="E71" s="973" t="s">
        <v>778</v>
      </c>
      <c r="F71" s="339">
        <f ca="1">F43</f>
        <v>148.12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47862</v>
      </c>
      <c r="D75" s="1383"/>
      <c r="E75" s="1383"/>
      <c r="F75" s="1383"/>
      <c r="K75" s="1401"/>
      <c r="L75" s="1383"/>
      <c r="O75" s="1417" t="s">
        <v>409</v>
      </c>
      <c r="P75" s="1418" t="s">
        <v>838</v>
      </c>
      <c r="Q75" s="1419">
        <f ca="1">Q65+Q66</f>
        <v>2288920</v>
      </c>
      <c r="R75" s="1419" t="s">
        <v>410</v>
      </c>
    </row>
    <row r="76" spans="1:18" ht="13">
      <c r="B76" s="342" t="s">
        <v>796</v>
      </c>
      <c r="C76" s="343">
        <f ca="1">INDIRECT("'数据-取费表'!j"&amp;$G$1)</f>
        <v>7.0000000000000007E-2</v>
      </c>
      <c r="I76" s="1383"/>
      <c r="J76" s="1383"/>
      <c r="K76" s="1401"/>
      <c r="L76" s="1383"/>
    </row>
    <row r="77" spans="1:18" ht="13.5">
      <c r="B77" s="344" t="s">
        <v>797</v>
      </c>
      <c r="C77" s="345"/>
      <c r="I77" s="1383"/>
      <c r="J77" s="1383"/>
      <c r="K77" s="1401"/>
      <c r="L77" s="1383"/>
    </row>
    <row r="78" spans="1:18" ht="13.5">
      <c r="B78" s="270" t="s">
        <v>798</v>
      </c>
      <c r="C78" s="346"/>
    </row>
    <row r="79" spans="1:18" ht="13">
      <c r="B79" s="340" t="s">
        <v>799</v>
      </c>
      <c r="C79" s="274">
        <f ca="1">1-C80</f>
        <v>0.56800000000000006</v>
      </c>
    </row>
    <row r="80" spans="1:18" ht="13">
      <c r="B80" s="340" t="s">
        <v>800</v>
      </c>
      <c r="C80" s="274">
        <f ca="1">ROUND(C75/C39,3)</f>
        <v>0.432</v>
      </c>
    </row>
    <row r="81" spans="2:3" ht="13.5">
      <c r="B81" s="270" t="s">
        <v>801</v>
      </c>
      <c r="C81" s="238"/>
    </row>
    <row r="82" spans="2:3" ht="13">
      <c r="B82" s="273" t="s">
        <v>802</v>
      </c>
      <c r="C82" s="275">
        <f ca="1">1-C83</f>
        <v>0.70100000000000007</v>
      </c>
    </row>
    <row r="83" spans="2:3" ht="13">
      <c r="B83" s="273" t="s">
        <v>803</v>
      </c>
      <c r="C83" s="274">
        <f ca="1">ROUND(C13/C40,3)</f>
        <v>0.29899999999999999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453125" style="2839" customWidth="1"/>
    <col min="2" max="2" width="8.90625" style="2839"/>
    <col min="3" max="5" width="12.90625" style="2839" customWidth="1"/>
    <col min="6" max="6" width="47.453125" style="2839" customWidth="1"/>
    <col min="7" max="7" width="13" style="2998" customWidth="1"/>
    <col min="8" max="8" width="8.90625" style="2833"/>
    <col min="9" max="9" width="8.90625" style="2834"/>
    <col min="10" max="10" width="5.7265625" style="2999" customWidth="1"/>
    <col min="11" max="11" width="11.7265625" style="2999" customWidth="1"/>
    <col min="12" max="13" width="10.7265625" style="2999" customWidth="1"/>
    <col min="14" max="14" width="10" style="2999" customWidth="1"/>
    <col min="15" max="16" width="10.453125" style="2999" bestFit="1" customWidth="1"/>
    <col min="17" max="17" width="10" style="2999" customWidth="1"/>
    <col min="18" max="18" width="10.08984375" style="2999" customWidth="1"/>
    <col min="19" max="19" width="10" style="2999" customWidth="1"/>
    <col min="20" max="20" width="26.08984375" style="2999" customWidth="1"/>
    <col min="21" max="21" width="8.90625" style="2999"/>
    <col min="22" max="22" width="8.90625" style="2834"/>
    <col min="23" max="256" width="8.90625" style="2839"/>
    <col min="257" max="257" width="9.453125" style="2839" customWidth="1"/>
    <col min="258" max="258" width="8.90625" style="2839"/>
    <col min="259" max="261" width="12.90625" style="2839" customWidth="1"/>
    <col min="262" max="262" width="47.453125" style="2839" customWidth="1"/>
    <col min="263" max="263" width="13" style="2839" customWidth="1"/>
    <col min="264" max="265" width="8.90625" style="2839"/>
    <col min="266" max="266" width="5.7265625" style="2839" customWidth="1"/>
    <col min="267" max="267" width="11.7265625" style="2839" customWidth="1"/>
    <col min="268" max="269" width="10.7265625" style="2839" customWidth="1"/>
    <col min="270" max="270" width="10" style="2839" customWidth="1"/>
    <col min="271" max="272" width="10.453125" style="2839" bestFit="1" customWidth="1"/>
    <col min="273" max="273" width="10" style="2839" customWidth="1"/>
    <col min="274" max="274" width="10.08984375" style="2839" customWidth="1"/>
    <col min="275" max="275" width="10" style="2839" customWidth="1"/>
    <col min="276" max="276" width="26.08984375" style="2839" customWidth="1"/>
    <col min="277" max="512" width="8.90625" style="2839"/>
    <col min="513" max="513" width="9.453125" style="2839" customWidth="1"/>
    <col min="514" max="514" width="8.90625" style="2839"/>
    <col min="515" max="517" width="12.90625" style="2839" customWidth="1"/>
    <col min="518" max="518" width="47.453125" style="2839" customWidth="1"/>
    <col min="519" max="519" width="13" style="2839" customWidth="1"/>
    <col min="520" max="521" width="8.90625" style="2839"/>
    <col min="522" max="522" width="5.7265625" style="2839" customWidth="1"/>
    <col min="523" max="523" width="11.7265625" style="2839" customWidth="1"/>
    <col min="524" max="525" width="10.7265625" style="2839" customWidth="1"/>
    <col min="526" max="526" width="10" style="2839" customWidth="1"/>
    <col min="527" max="528" width="10.453125" style="2839" bestFit="1" customWidth="1"/>
    <col min="529" max="529" width="10" style="2839" customWidth="1"/>
    <col min="530" max="530" width="10.08984375" style="2839" customWidth="1"/>
    <col min="531" max="531" width="10" style="2839" customWidth="1"/>
    <col min="532" max="532" width="26.08984375" style="2839" customWidth="1"/>
    <col min="533" max="768" width="8.90625" style="2839"/>
    <col min="769" max="769" width="9.453125" style="2839" customWidth="1"/>
    <col min="770" max="770" width="8.90625" style="2839"/>
    <col min="771" max="773" width="12.90625" style="2839" customWidth="1"/>
    <col min="774" max="774" width="47.453125" style="2839" customWidth="1"/>
    <col min="775" max="775" width="13" style="2839" customWidth="1"/>
    <col min="776" max="777" width="8.90625" style="2839"/>
    <col min="778" max="778" width="5.7265625" style="2839" customWidth="1"/>
    <col min="779" max="779" width="11.7265625" style="2839" customWidth="1"/>
    <col min="780" max="781" width="10.7265625" style="2839" customWidth="1"/>
    <col min="782" max="782" width="10" style="2839" customWidth="1"/>
    <col min="783" max="784" width="10.453125" style="2839" bestFit="1" customWidth="1"/>
    <col min="785" max="785" width="10" style="2839" customWidth="1"/>
    <col min="786" max="786" width="10.08984375" style="2839" customWidth="1"/>
    <col min="787" max="787" width="10" style="2839" customWidth="1"/>
    <col min="788" max="788" width="26.08984375" style="2839" customWidth="1"/>
    <col min="789" max="1024" width="8.90625" style="2839"/>
    <col min="1025" max="1025" width="9.453125" style="2839" customWidth="1"/>
    <col min="1026" max="1026" width="8.90625" style="2839"/>
    <col min="1027" max="1029" width="12.90625" style="2839" customWidth="1"/>
    <col min="1030" max="1030" width="47.453125" style="2839" customWidth="1"/>
    <col min="1031" max="1031" width="13" style="2839" customWidth="1"/>
    <col min="1032" max="1033" width="8.90625" style="2839"/>
    <col min="1034" max="1034" width="5.7265625" style="2839" customWidth="1"/>
    <col min="1035" max="1035" width="11.7265625" style="2839" customWidth="1"/>
    <col min="1036" max="1037" width="10.7265625" style="2839" customWidth="1"/>
    <col min="1038" max="1038" width="10" style="2839" customWidth="1"/>
    <col min="1039" max="1040" width="10.453125" style="2839" bestFit="1" customWidth="1"/>
    <col min="1041" max="1041" width="10" style="2839" customWidth="1"/>
    <col min="1042" max="1042" width="10.08984375" style="2839" customWidth="1"/>
    <col min="1043" max="1043" width="10" style="2839" customWidth="1"/>
    <col min="1044" max="1044" width="26.08984375" style="2839" customWidth="1"/>
    <col min="1045" max="1280" width="8.90625" style="2839"/>
    <col min="1281" max="1281" width="9.453125" style="2839" customWidth="1"/>
    <col min="1282" max="1282" width="8.90625" style="2839"/>
    <col min="1283" max="1285" width="12.90625" style="2839" customWidth="1"/>
    <col min="1286" max="1286" width="47.453125" style="2839" customWidth="1"/>
    <col min="1287" max="1287" width="13" style="2839" customWidth="1"/>
    <col min="1288" max="1289" width="8.90625" style="2839"/>
    <col min="1290" max="1290" width="5.7265625" style="2839" customWidth="1"/>
    <col min="1291" max="1291" width="11.7265625" style="2839" customWidth="1"/>
    <col min="1292" max="1293" width="10.7265625" style="2839" customWidth="1"/>
    <col min="1294" max="1294" width="10" style="2839" customWidth="1"/>
    <col min="1295" max="1296" width="10.453125" style="2839" bestFit="1" customWidth="1"/>
    <col min="1297" max="1297" width="10" style="2839" customWidth="1"/>
    <col min="1298" max="1298" width="10.08984375" style="2839" customWidth="1"/>
    <col min="1299" max="1299" width="10" style="2839" customWidth="1"/>
    <col min="1300" max="1300" width="26.08984375" style="2839" customWidth="1"/>
    <col min="1301" max="1536" width="8.90625" style="2839"/>
    <col min="1537" max="1537" width="9.453125" style="2839" customWidth="1"/>
    <col min="1538" max="1538" width="8.90625" style="2839"/>
    <col min="1539" max="1541" width="12.90625" style="2839" customWidth="1"/>
    <col min="1542" max="1542" width="47.453125" style="2839" customWidth="1"/>
    <col min="1543" max="1543" width="13" style="2839" customWidth="1"/>
    <col min="1544" max="1545" width="8.90625" style="2839"/>
    <col min="1546" max="1546" width="5.7265625" style="2839" customWidth="1"/>
    <col min="1547" max="1547" width="11.7265625" style="2839" customWidth="1"/>
    <col min="1548" max="1549" width="10.7265625" style="2839" customWidth="1"/>
    <col min="1550" max="1550" width="10" style="2839" customWidth="1"/>
    <col min="1551" max="1552" width="10.453125" style="2839" bestFit="1" customWidth="1"/>
    <col min="1553" max="1553" width="10" style="2839" customWidth="1"/>
    <col min="1554" max="1554" width="10.08984375" style="2839" customWidth="1"/>
    <col min="1555" max="1555" width="10" style="2839" customWidth="1"/>
    <col min="1556" max="1556" width="26.08984375" style="2839" customWidth="1"/>
    <col min="1557" max="1792" width="8.90625" style="2839"/>
    <col min="1793" max="1793" width="9.453125" style="2839" customWidth="1"/>
    <col min="1794" max="1794" width="8.90625" style="2839"/>
    <col min="1795" max="1797" width="12.90625" style="2839" customWidth="1"/>
    <col min="1798" max="1798" width="47.453125" style="2839" customWidth="1"/>
    <col min="1799" max="1799" width="13" style="2839" customWidth="1"/>
    <col min="1800" max="1801" width="8.90625" style="2839"/>
    <col min="1802" max="1802" width="5.7265625" style="2839" customWidth="1"/>
    <col min="1803" max="1803" width="11.7265625" style="2839" customWidth="1"/>
    <col min="1804" max="1805" width="10.7265625" style="2839" customWidth="1"/>
    <col min="1806" max="1806" width="10" style="2839" customWidth="1"/>
    <col min="1807" max="1808" width="10.453125" style="2839" bestFit="1" customWidth="1"/>
    <col min="1809" max="1809" width="10" style="2839" customWidth="1"/>
    <col min="1810" max="1810" width="10.08984375" style="2839" customWidth="1"/>
    <col min="1811" max="1811" width="10" style="2839" customWidth="1"/>
    <col min="1812" max="1812" width="26.08984375" style="2839" customWidth="1"/>
    <col min="1813" max="2048" width="8.90625" style="2839"/>
    <col min="2049" max="2049" width="9.453125" style="2839" customWidth="1"/>
    <col min="2050" max="2050" width="8.90625" style="2839"/>
    <col min="2051" max="2053" width="12.90625" style="2839" customWidth="1"/>
    <col min="2054" max="2054" width="47.453125" style="2839" customWidth="1"/>
    <col min="2055" max="2055" width="13" style="2839" customWidth="1"/>
    <col min="2056" max="2057" width="8.90625" style="2839"/>
    <col min="2058" max="2058" width="5.7265625" style="2839" customWidth="1"/>
    <col min="2059" max="2059" width="11.7265625" style="2839" customWidth="1"/>
    <col min="2060" max="2061" width="10.7265625" style="2839" customWidth="1"/>
    <col min="2062" max="2062" width="10" style="2839" customWidth="1"/>
    <col min="2063" max="2064" width="10.453125" style="2839" bestFit="1" customWidth="1"/>
    <col min="2065" max="2065" width="10" style="2839" customWidth="1"/>
    <col min="2066" max="2066" width="10.08984375" style="2839" customWidth="1"/>
    <col min="2067" max="2067" width="10" style="2839" customWidth="1"/>
    <col min="2068" max="2068" width="26.08984375" style="2839" customWidth="1"/>
    <col min="2069" max="2304" width="8.90625" style="2839"/>
    <col min="2305" max="2305" width="9.453125" style="2839" customWidth="1"/>
    <col min="2306" max="2306" width="8.90625" style="2839"/>
    <col min="2307" max="2309" width="12.90625" style="2839" customWidth="1"/>
    <col min="2310" max="2310" width="47.453125" style="2839" customWidth="1"/>
    <col min="2311" max="2311" width="13" style="2839" customWidth="1"/>
    <col min="2312" max="2313" width="8.90625" style="2839"/>
    <col min="2314" max="2314" width="5.7265625" style="2839" customWidth="1"/>
    <col min="2315" max="2315" width="11.7265625" style="2839" customWidth="1"/>
    <col min="2316" max="2317" width="10.7265625" style="2839" customWidth="1"/>
    <col min="2318" max="2318" width="10" style="2839" customWidth="1"/>
    <col min="2319" max="2320" width="10.453125" style="2839" bestFit="1" customWidth="1"/>
    <col min="2321" max="2321" width="10" style="2839" customWidth="1"/>
    <col min="2322" max="2322" width="10.08984375" style="2839" customWidth="1"/>
    <col min="2323" max="2323" width="10" style="2839" customWidth="1"/>
    <col min="2324" max="2324" width="26.08984375" style="2839" customWidth="1"/>
    <col min="2325" max="2560" width="8.90625" style="2839"/>
    <col min="2561" max="2561" width="9.453125" style="2839" customWidth="1"/>
    <col min="2562" max="2562" width="8.90625" style="2839"/>
    <col min="2563" max="2565" width="12.90625" style="2839" customWidth="1"/>
    <col min="2566" max="2566" width="47.453125" style="2839" customWidth="1"/>
    <col min="2567" max="2567" width="13" style="2839" customWidth="1"/>
    <col min="2568" max="2569" width="8.90625" style="2839"/>
    <col min="2570" max="2570" width="5.7265625" style="2839" customWidth="1"/>
    <col min="2571" max="2571" width="11.7265625" style="2839" customWidth="1"/>
    <col min="2572" max="2573" width="10.7265625" style="2839" customWidth="1"/>
    <col min="2574" max="2574" width="10" style="2839" customWidth="1"/>
    <col min="2575" max="2576" width="10.453125" style="2839" bestFit="1" customWidth="1"/>
    <col min="2577" max="2577" width="10" style="2839" customWidth="1"/>
    <col min="2578" max="2578" width="10.08984375" style="2839" customWidth="1"/>
    <col min="2579" max="2579" width="10" style="2839" customWidth="1"/>
    <col min="2580" max="2580" width="26.08984375" style="2839" customWidth="1"/>
    <col min="2581" max="2816" width="8.90625" style="2839"/>
    <col min="2817" max="2817" width="9.453125" style="2839" customWidth="1"/>
    <col min="2818" max="2818" width="8.90625" style="2839"/>
    <col min="2819" max="2821" width="12.90625" style="2839" customWidth="1"/>
    <col min="2822" max="2822" width="47.453125" style="2839" customWidth="1"/>
    <col min="2823" max="2823" width="13" style="2839" customWidth="1"/>
    <col min="2824" max="2825" width="8.90625" style="2839"/>
    <col min="2826" max="2826" width="5.7265625" style="2839" customWidth="1"/>
    <col min="2827" max="2827" width="11.7265625" style="2839" customWidth="1"/>
    <col min="2828" max="2829" width="10.7265625" style="2839" customWidth="1"/>
    <col min="2830" max="2830" width="10" style="2839" customWidth="1"/>
    <col min="2831" max="2832" width="10.453125" style="2839" bestFit="1" customWidth="1"/>
    <col min="2833" max="2833" width="10" style="2839" customWidth="1"/>
    <col min="2834" max="2834" width="10.08984375" style="2839" customWidth="1"/>
    <col min="2835" max="2835" width="10" style="2839" customWidth="1"/>
    <col min="2836" max="2836" width="26.08984375" style="2839" customWidth="1"/>
    <col min="2837" max="3072" width="8.90625" style="2839"/>
    <col min="3073" max="3073" width="9.453125" style="2839" customWidth="1"/>
    <col min="3074" max="3074" width="8.90625" style="2839"/>
    <col min="3075" max="3077" width="12.90625" style="2839" customWidth="1"/>
    <col min="3078" max="3078" width="47.453125" style="2839" customWidth="1"/>
    <col min="3079" max="3079" width="13" style="2839" customWidth="1"/>
    <col min="3080" max="3081" width="8.90625" style="2839"/>
    <col min="3082" max="3082" width="5.7265625" style="2839" customWidth="1"/>
    <col min="3083" max="3083" width="11.7265625" style="2839" customWidth="1"/>
    <col min="3084" max="3085" width="10.7265625" style="2839" customWidth="1"/>
    <col min="3086" max="3086" width="10" style="2839" customWidth="1"/>
    <col min="3087" max="3088" width="10.453125" style="2839" bestFit="1" customWidth="1"/>
    <col min="3089" max="3089" width="10" style="2839" customWidth="1"/>
    <col min="3090" max="3090" width="10.08984375" style="2839" customWidth="1"/>
    <col min="3091" max="3091" width="10" style="2839" customWidth="1"/>
    <col min="3092" max="3092" width="26.08984375" style="2839" customWidth="1"/>
    <col min="3093" max="3328" width="8.90625" style="2839"/>
    <col min="3329" max="3329" width="9.453125" style="2839" customWidth="1"/>
    <col min="3330" max="3330" width="8.90625" style="2839"/>
    <col min="3331" max="3333" width="12.90625" style="2839" customWidth="1"/>
    <col min="3334" max="3334" width="47.453125" style="2839" customWidth="1"/>
    <col min="3335" max="3335" width="13" style="2839" customWidth="1"/>
    <col min="3336" max="3337" width="8.90625" style="2839"/>
    <col min="3338" max="3338" width="5.7265625" style="2839" customWidth="1"/>
    <col min="3339" max="3339" width="11.7265625" style="2839" customWidth="1"/>
    <col min="3340" max="3341" width="10.7265625" style="2839" customWidth="1"/>
    <col min="3342" max="3342" width="10" style="2839" customWidth="1"/>
    <col min="3343" max="3344" width="10.453125" style="2839" bestFit="1" customWidth="1"/>
    <col min="3345" max="3345" width="10" style="2839" customWidth="1"/>
    <col min="3346" max="3346" width="10.08984375" style="2839" customWidth="1"/>
    <col min="3347" max="3347" width="10" style="2839" customWidth="1"/>
    <col min="3348" max="3348" width="26.08984375" style="2839" customWidth="1"/>
    <col min="3349" max="3584" width="8.90625" style="2839"/>
    <col min="3585" max="3585" width="9.453125" style="2839" customWidth="1"/>
    <col min="3586" max="3586" width="8.90625" style="2839"/>
    <col min="3587" max="3589" width="12.90625" style="2839" customWidth="1"/>
    <col min="3590" max="3590" width="47.453125" style="2839" customWidth="1"/>
    <col min="3591" max="3591" width="13" style="2839" customWidth="1"/>
    <col min="3592" max="3593" width="8.90625" style="2839"/>
    <col min="3594" max="3594" width="5.7265625" style="2839" customWidth="1"/>
    <col min="3595" max="3595" width="11.7265625" style="2839" customWidth="1"/>
    <col min="3596" max="3597" width="10.7265625" style="2839" customWidth="1"/>
    <col min="3598" max="3598" width="10" style="2839" customWidth="1"/>
    <col min="3599" max="3600" width="10.453125" style="2839" bestFit="1" customWidth="1"/>
    <col min="3601" max="3601" width="10" style="2839" customWidth="1"/>
    <col min="3602" max="3602" width="10.08984375" style="2839" customWidth="1"/>
    <col min="3603" max="3603" width="10" style="2839" customWidth="1"/>
    <col min="3604" max="3604" width="26.08984375" style="2839" customWidth="1"/>
    <col min="3605" max="3840" width="8.90625" style="2839"/>
    <col min="3841" max="3841" width="9.453125" style="2839" customWidth="1"/>
    <col min="3842" max="3842" width="8.90625" style="2839"/>
    <col min="3843" max="3845" width="12.90625" style="2839" customWidth="1"/>
    <col min="3846" max="3846" width="47.453125" style="2839" customWidth="1"/>
    <col min="3847" max="3847" width="13" style="2839" customWidth="1"/>
    <col min="3848" max="3849" width="8.90625" style="2839"/>
    <col min="3850" max="3850" width="5.7265625" style="2839" customWidth="1"/>
    <col min="3851" max="3851" width="11.7265625" style="2839" customWidth="1"/>
    <col min="3852" max="3853" width="10.7265625" style="2839" customWidth="1"/>
    <col min="3854" max="3854" width="10" style="2839" customWidth="1"/>
    <col min="3855" max="3856" width="10.453125" style="2839" bestFit="1" customWidth="1"/>
    <col min="3857" max="3857" width="10" style="2839" customWidth="1"/>
    <col min="3858" max="3858" width="10.08984375" style="2839" customWidth="1"/>
    <col min="3859" max="3859" width="10" style="2839" customWidth="1"/>
    <col min="3860" max="3860" width="26.08984375" style="2839" customWidth="1"/>
    <col min="3861" max="4096" width="8.90625" style="2839"/>
    <col min="4097" max="4097" width="9.453125" style="2839" customWidth="1"/>
    <col min="4098" max="4098" width="8.90625" style="2839"/>
    <col min="4099" max="4101" width="12.90625" style="2839" customWidth="1"/>
    <col min="4102" max="4102" width="47.453125" style="2839" customWidth="1"/>
    <col min="4103" max="4103" width="13" style="2839" customWidth="1"/>
    <col min="4104" max="4105" width="8.90625" style="2839"/>
    <col min="4106" max="4106" width="5.7265625" style="2839" customWidth="1"/>
    <col min="4107" max="4107" width="11.7265625" style="2839" customWidth="1"/>
    <col min="4108" max="4109" width="10.7265625" style="2839" customWidth="1"/>
    <col min="4110" max="4110" width="10" style="2839" customWidth="1"/>
    <col min="4111" max="4112" width="10.453125" style="2839" bestFit="1" customWidth="1"/>
    <col min="4113" max="4113" width="10" style="2839" customWidth="1"/>
    <col min="4114" max="4114" width="10.08984375" style="2839" customWidth="1"/>
    <col min="4115" max="4115" width="10" style="2839" customWidth="1"/>
    <col min="4116" max="4116" width="26.08984375" style="2839" customWidth="1"/>
    <col min="4117" max="4352" width="8.90625" style="2839"/>
    <col min="4353" max="4353" width="9.453125" style="2839" customWidth="1"/>
    <col min="4354" max="4354" width="8.90625" style="2839"/>
    <col min="4355" max="4357" width="12.90625" style="2839" customWidth="1"/>
    <col min="4358" max="4358" width="47.453125" style="2839" customWidth="1"/>
    <col min="4359" max="4359" width="13" style="2839" customWidth="1"/>
    <col min="4360" max="4361" width="8.90625" style="2839"/>
    <col min="4362" max="4362" width="5.7265625" style="2839" customWidth="1"/>
    <col min="4363" max="4363" width="11.7265625" style="2839" customWidth="1"/>
    <col min="4364" max="4365" width="10.7265625" style="2839" customWidth="1"/>
    <col min="4366" max="4366" width="10" style="2839" customWidth="1"/>
    <col min="4367" max="4368" width="10.453125" style="2839" bestFit="1" customWidth="1"/>
    <col min="4369" max="4369" width="10" style="2839" customWidth="1"/>
    <col min="4370" max="4370" width="10.08984375" style="2839" customWidth="1"/>
    <col min="4371" max="4371" width="10" style="2839" customWidth="1"/>
    <col min="4372" max="4372" width="26.08984375" style="2839" customWidth="1"/>
    <col min="4373" max="4608" width="8.90625" style="2839"/>
    <col min="4609" max="4609" width="9.453125" style="2839" customWidth="1"/>
    <col min="4610" max="4610" width="8.90625" style="2839"/>
    <col min="4611" max="4613" width="12.90625" style="2839" customWidth="1"/>
    <col min="4614" max="4614" width="47.453125" style="2839" customWidth="1"/>
    <col min="4615" max="4615" width="13" style="2839" customWidth="1"/>
    <col min="4616" max="4617" width="8.90625" style="2839"/>
    <col min="4618" max="4618" width="5.7265625" style="2839" customWidth="1"/>
    <col min="4619" max="4619" width="11.7265625" style="2839" customWidth="1"/>
    <col min="4620" max="4621" width="10.7265625" style="2839" customWidth="1"/>
    <col min="4622" max="4622" width="10" style="2839" customWidth="1"/>
    <col min="4623" max="4624" width="10.453125" style="2839" bestFit="1" customWidth="1"/>
    <col min="4625" max="4625" width="10" style="2839" customWidth="1"/>
    <col min="4626" max="4626" width="10.08984375" style="2839" customWidth="1"/>
    <col min="4627" max="4627" width="10" style="2839" customWidth="1"/>
    <col min="4628" max="4628" width="26.08984375" style="2839" customWidth="1"/>
    <col min="4629" max="4864" width="8.90625" style="2839"/>
    <col min="4865" max="4865" width="9.453125" style="2839" customWidth="1"/>
    <col min="4866" max="4866" width="8.90625" style="2839"/>
    <col min="4867" max="4869" width="12.90625" style="2839" customWidth="1"/>
    <col min="4870" max="4870" width="47.453125" style="2839" customWidth="1"/>
    <col min="4871" max="4871" width="13" style="2839" customWidth="1"/>
    <col min="4872" max="4873" width="8.90625" style="2839"/>
    <col min="4874" max="4874" width="5.7265625" style="2839" customWidth="1"/>
    <col min="4875" max="4875" width="11.7265625" style="2839" customWidth="1"/>
    <col min="4876" max="4877" width="10.7265625" style="2839" customWidth="1"/>
    <col min="4878" max="4878" width="10" style="2839" customWidth="1"/>
    <col min="4879" max="4880" width="10.453125" style="2839" bestFit="1" customWidth="1"/>
    <col min="4881" max="4881" width="10" style="2839" customWidth="1"/>
    <col min="4882" max="4882" width="10.08984375" style="2839" customWidth="1"/>
    <col min="4883" max="4883" width="10" style="2839" customWidth="1"/>
    <col min="4884" max="4884" width="26.08984375" style="2839" customWidth="1"/>
    <col min="4885" max="5120" width="8.90625" style="2839"/>
    <col min="5121" max="5121" width="9.453125" style="2839" customWidth="1"/>
    <col min="5122" max="5122" width="8.90625" style="2839"/>
    <col min="5123" max="5125" width="12.90625" style="2839" customWidth="1"/>
    <col min="5126" max="5126" width="47.453125" style="2839" customWidth="1"/>
    <col min="5127" max="5127" width="13" style="2839" customWidth="1"/>
    <col min="5128" max="5129" width="8.90625" style="2839"/>
    <col min="5130" max="5130" width="5.7265625" style="2839" customWidth="1"/>
    <col min="5131" max="5131" width="11.7265625" style="2839" customWidth="1"/>
    <col min="5132" max="5133" width="10.7265625" style="2839" customWidth="1"/>
    <col min="5134" max="5134" width="10" style="2839" customWidth="1"/>
    <col min="5135" max="5136" width="10.453125" style="2839" bestFit="1" customWidth="1"/>
    <col min="5137" max="5137" width="10" style="2839" customWidth="1"/>
    <col min="5138" max="5138" width="10.08984375" style="2839" customWidth="1"/>
    <col min="5139" max="5139" width="10" style="2839" customWidth="1"/>
    <col min="5140" max="5140" width="26.08984375" style="2839" customWidth="1"/>
    <col min="5141" max="5376" width="8.90625" style="2839"/>
    <col min="5377" max="5377" width="9.453125" style="2839" customWidth="1"/>
    <col min="5378" max="5378" width="8.90625" style="2839"/>
    <col min="5379" max="5381" width="12.90625" style="2839" customWidth="1"/>
    <col min="5382" max="5382" width="47.453125" style="2839" customWidth="1"/>
    <col min="5383" max="5383" width="13" style="2839" customWidth="1"/>
    <col min="5384" max="5385" width="8.90625" style="2839"/>
    <col min="5386" max="5386" width="5.7265625" style="2839" customWidth="1"/>
    <col min="5387" max="5387" width="11.7265625" style="2839" customWidth="1"/>
    <col min="5388" max="5389" width="10.7265625" style="2839" customWidth="1"/>
    <col min="5390" max="5390" width="10" style="2839" customWidth="1"/>
    <col min="5391" max="5392" width="10.453125" style="2839" bestFit="1" customWidth="1"/>
    <col min="5393" max="5393" width="10" style="2839" customWidth="1"/>
    <col min="5394" max="5394" width="10.08984375" style="2839" customWidth="1"/>
    <col min="5395" max="5395" width="10" style="2839" customWidth="1"/>
    <col min="5396" max="5396" width="26.08984375" style="2839" customWidth="1"/>
    <col min="5397" max="5632" width="8.90625" style="2839"/>
    <col min="5633" max="5633" width="9.453125" style="2839" customWidth="1"/>
    <col min="5634" max="5634" width="8.90625" style="2839"/>
    <col min="5635" max="5637" width="12.90625" style="2839" customWidth="1"/>
    <col min="5638" max="5638" width="47.453125" style="2839" customWidth="1"/>
    <col min="5639" max="5639" width="13" style="2839" customWidth="1"/>
    <col min="5640" max="5641" width="8.90625" style="2839"/>
    <col min="5642" max="5642" width="5.7265625" style="2839" customWidth="1"/>
    <col min="5643" max="5643" width="11.7265625" style="2839" customWidth="1"/>
    <col min="5644" max="5645" width="10.7265625" style="2839" customWidth="1"/>
    <col min="5646" max="5646" width="10" style="2839" customWidth="1"/>
    <col min="5647" max="5648" width="10.453125" style="2839" bestFit="1" customWidth="1"/>
    <col min="5649" max="5649" width="10" style="2839" customWidth="1"/>
    <col min="5650" max="5650" width="10.08984375" style="2839" customWidth="1"/>
    <col min="5651" max="5651" width="10" style="2839" customWidth="1"/>
    <col min="5652" max="5652" width="26.08984375" style="2839" customWidth="1"/>
    <col min="5653" max="5888" width="8.90625" style="2839"/>
    <col min="5889" max="5889" width="9.453125" style="2839" customWidth="1"/>
    <col min="5890" max="5890" width="8.90625" style="2839"/>
    <col min="5891" max="5893" width="12.90625" style="2839" customWidth="1"/>
    <col min="5894" max="5894" width="47.453125" style="2839" customWidth="1"/>
    <col min="5895" max="5895" width="13" style="2839" customWidth="1"/>
    <col min="5896" max="5897" width="8.90625" style="2839"/>
    <col min="5898" max="5898" width="5.7265625" style="2839" customWidth="1"/>
    <col min="5899" max="5899" width="11.7265625" style="2839" customWidth="1"/>
    <col min="5900" max="5901" width="10.7265625" style="2839" customWidth="1"/>
    <col min="5902" max="5902" width="10" style="2839" customWidth="1"/>
    <col min="5903" max="5904" width="10.453125" style="2839" bestFit="1" customWidth="1"/>
    <col min="5905" max="5905" width="10" style="2839" customWidth="1"/>
    <col min="5906" max="5906" width="10.08984375" style="2839" customWidth="1"/>
    <col min="5907" max="5907" width="10" style="2839" customWidth="1"/>
    <col min="5908" max="5908" width="26.08984375" style="2839" customWidth="1"/>
    <col min="5909" max="6144" width="8.90625" style="2839"/>
    <col min="6145" max="6145" width="9.453125" style="2839" customWidth="1"/>
    <col min="6146" max="6146" width="8.90625" style="2839"/>
    <col min="6147" max="6149" width="12.90625" style="2839" customWidth="1"/>
    <col min="6150" max="6150" width="47.453125" style="2839" customWidth="1"/>
    <col min="6151" max="6151" width="13" style="2839" customWidth="1"/>
    <col min="6152" max="6153" width="8.90625" style="2839"/>
    <col min="6154" max="6154" width="5.7265625" style="2839" customWidth="1"/>
    <col min="6155" max="6155" width="11.7265625" style="2839" customWidth="1"/>
    <col min="6156" max="6157" width="10.7265625" style="2839" customWidth="1"/>
    <col min="6158" max="6158" width="10" style="2839" customWidth="1"/>
    <col min="6159" max="6160" width="10.453125" style="2839" bestFit="1" customWidth="1"/>
    <col min="6161" max="6161" width="10" style="2839" customWidth="1"/>
    <col min="6162" max="6162" width="10.08984375" style="2839" customWidth="1"/>
    <col min="6163" max="6163" width="10" style="2839" customWidth="1"/>
    <col min="6164" max="6164" width="26.08984375" style="2839" customWidth="1"/>
    <col min="6165" max="6400" width="8.90625" style="2839"/>
    <col min="6401" max="6401" width="9.453125" style="2839" customWidth="1"/>
    <col min="6402" max="6402" width="8.90625" style="2839"/>
    <col min="6403" max="6405" width="12.90625" style="2839" customWidth="1"/>
    <col min="6406" max="6406" width="47.453125" style="2839" customWidth="1"/>
    <col min="6407" max="6407" width="13" style="2839" customWidth="1"/>
    <col min="6408" max="6409" width="8.90625" style="2839"/>
    <col min="6410" max="6410" width="5.7265625" style="2839" customWidth="1"/>
    <col min="6411" max="6411" width="11.7265625" style="2839" customWidth="1"/>
    <col min="6412" max="6413" width="10.7265625" style="2839" customWidth="1"/>
    <col min="6414" max="6414" width="10" style="2839" customWidth="1"/>
    <col min="6415" max="6416" width="10.453125" style="2839" bestFit="1" customWidth="1"/>
    <col min="6417" max="6417" width="10" style="2839" customWidth="1"/>
    <col min="6418" max="6418" width="10.08984375" style="2839" customWidth="1"/>
    <col min="6419" max="6419" width="10" style="2839" customWidth="1"/>
    <col min="6420" max="6420" width="26.08984375" style="2839" customWidth="1"/>
    <col min="6421" max="6656" width="8.90625" style="2839"/>
    <col min="6657" max="6657" width="9.453125" style="2839" customWidth="1"/>
    <col min="6658" max="6658" width="8.90625" style="2839"/>
    <col min="6659" max="6661" width="12.90625" style="2839" customWidth="1"/>
    <col min="6662" max="6662" width="47.453125" style="2839" customWidth="1"/>
    <col min="6663" max="6663" width="13" style="2839" customWidth="1"/>
    <col min="6664" max="6665" width="8.90625" style="2839"/>
    <col min="6666" max="6666" width="5.7265625" style="2839" customWidth="1"/>
    <col min="6667" max="6667" width="11.7265625" style="2839" customWidth="1"/>
    <col min="6668" max="6669" width="10.7265625" style="2839" customWidth="1"/>
    <col min="6670" max="6670" width="10" style="2839" customWidth="1"/>
    <col min="6671" max="6672" width="10.453125" style="2839" bestFit="1" customWidth="1"/>
    <col min="6673" max="6673" width="10" style="2839" customWidth="1"/>
    <col min="6674" max="6674" width="10.08984375" style="2839" customWidth="1"/>
    <col min="6675" max="6675" width="10" style="2839" customWidth="1"/>
    <col min="6676" max="6676" width="26.08984375" style="2839" customWidth="1"/>
    <col min="6677" max="6912" width="8.90625" style="2839"/>
    <col min="6913" max="6913" width="9.453125" style="2839" customWidth="1"/>
    <col min="6914" max="6914" width="8.90625" style="2839"/>
    <col min="6915" max="6917" width="12.90625" style="2839" customWidth="1"/>
    <col min="6918" max="6918" width="47.453125" style="2839" customWidth="1"/>
    <col min="6919" max="6919" width="13" style="2839" customWidth="1"/>
    <col min="6920" max="6921" width="8.90625" style="2839"/>
    <col min="6922" max="6922" width="5.7265625" style="2839" customWidth="1"/>
    <col min="6923" max="6923" width="11.7265625" style="2839" customWidth="1"/>
    <col min="6924" max="6925" width="10.7265625" style="2839" customWidth="1"/>
    <col min="6926" max="6926" width="10" style="2839" customWidth="1"/>
    <col min="6927" max="6928" width="10.453125" style="2839" bestFit="1" customWidth="1"/>
    <col min="6929" max="6929" width="10" style="2839" customWidth="1"/>
    <col min="6930" max="6930" width="10.08984375" style="2839" customWidth="1"/>
    <col min="6931" max="6931" width="10" style="2839" customWidth="1"/>
    <col min="6932" max="6932" width="26.08984375" style="2839" customWidth="1"/>
    <col min="6933" max="7168" width="8.90625" style="2839"/>
    <col min="7169" max="7169" width="9.453125" style="2839" customWidth="1"/>
    <col min="7170" max="7170" width="8.90625" style="2839"/>
    <col min="7171" max="7173" width="12.90625" style="2839" customWidth="1"/>
    <col min="7174" max="7174" width="47.453125" style="2839" customWidth="1"/>
    <col min="7175" max="7175" width="13" style="2839" customWidth="1"/>
    <col min="7176" max="7177" width="8.90625" style="2839"/>
    <col min="7178" max="7178" width="5.7265625" style="2839" customWidth="1"/>
    <col min="7179" max="7179" width="11.7265625" style="2839" customWidth="1"/>
    <col min="7180" max="7181" width="10.7265625" style="2839" customWidth="1"/>
    <col min="7182" max="7182" width="10" style="2839" customWidth="1"/>
    <col min="7183" max="7184" width="10.453125" style="2839" bestFit="1" customWidth="1"/>
    <col min="7185" max="7185" width="10" style="2839" customWidth="1"/>
    <col min="7186" max="7186" width="10.08984375" style="2839" customWidth="1"/>
    <col min="7187" max="7187" width="10" style="2839" customWidth="1"/>
    <col min="7188" max="7188" width="26.08984375" style="2839" customWidth="1"/>
    <col min="7189" max="7424" width="8.90625" style="2839"/>
    <col min="7425" max="7425" width="9.453125" style="2839" customWidth="1"/>
    <col min="7426" max="7426" width="8.90625" style="2839"/>
    <col min="7427" max="7429" width="12.90625" style="2839" customWidth="1"/>
    <col min="7430" max="7430" width="47.453125" style="2839" customWidth="1"/>
    <col min="7431" max="7431" width="13" style="2839" customWidth="1"/>
    <col min="7432" max="7433" width="8.90625" style="2839"/>
    <col min="7434" max="7434" width="5.7265625" style="2839" customWidth="1"/>
    <col min="7435" max="7435" width="11.7265625" style="2839" customWidth="1"/>
    <col min="7436" max="7437" width="10.7265625" style="2839" customWidth="1"/>
    <col min="7438" max="7438" width="10" style="2839" customWidth="1"/>
    <col min="7439" max="7440" width="10.453125" style="2839" bestFit="1" customWidth="1"/>
    <col min="7441" max="7441" width="10" style="2839" customWidth="1"/>
    <col min="7442" max="7442" width="10.08984375" style="2839" customWidth="1"/>
    <col min="7443" max="7443" width="10" style="2839" customWidth="1"/>
    <col min="7444" max="7444" width="26.08984375" style="2839" customWidth="1"/>
    <col min="7445" max="7680" width="8.90625" style="2839"/>
    <col min="7681" max="7681" width="9.453125" style="2839" customWidth="1"/>
    <col min="7682" max="7682" width="8.90625" style="2839"/>
    <col min="7683" max="7685" width="12.90625" style="2839" customWidth="1"/>
    <col min="7686" max="7686" width="47.453125" style="2839" customWidth="1"/>
    <col min="7687" max="7687" width="13" style="2839" customWidth="1"/>
    <col min="7688" max="7689" width="8.90625" style="2839"/>
    <col min="7690" max="7690" width="5.7265625" style="2839" customWidth="1"/>
    <col min="7691" max="7691" width="11.7265625" style="2839" customWidth="1"/>
    <col min="7692" max="7693" width="10.7265625" style="2839" customWidth="1"/>
    <col min="7694" max="7694" width="10" style="2839" customWidth="1"/>
    <col min="7695" max="7696" width="10.453125" style="2839" bestFit="1" customWidth="1"/>
    <col min="7697" max="7697" width="10" style="2839" customWidth="1"/>
    <col min="7698" max="7698" width="10.08984375" style="2839" customWidth="1"/>
    <col min="7699" max="7699" width="10" style="2839" customWidth="1"/>
    <col min="7700" max="7700" width="26.08984375" style="2839" customWidth="1"/>
    <col min="7701" max="7936" width="8.90625" style="2839"/>
    <col min="7937" max="7937" width="9.453125" style="2839" customWidth="1"/>
    <col min="7938" max="7938" width="8.90625" style="2839"/>
    <col min="7939" max="7941" width="12.90625" style="2839" customWidth="1"/>
    <col min="7942" max="7942" width="47.453125" style="2839" customWidth="1"/>
    <col min="7943" max="7943" width="13" style="2839" customWidth="1"/>
    <col min="7944" max="7945" width="8.90625" style="2839"/>
    <col min="7946" max="7946" width="5.7265625" style="2839" customWidth="1"/>
    <col min="7947" max="7947" width="11.7265625" style="2839" customWidth="1"/>
    <col min="7948" max="7949" width="10.7265625" style="2839" customWidth="1"/>
    <col min="7950" max="7950" width="10" style="2839" customWidth="1"/>
    <col min="7951" max="7952" width="10.453125" style="2839" bestFit="1" customWidth="1"/>
    <col min="7953" max="7953" width="10" style="2839" customWidth="1"/>
    <col min="7954" max="7954" width="10.08984375" style="2839" customWidth="1"/>
    <col min="7955" max="7955" width="10" style="2839" customWidth="1"/>
    <col min="7956" max="7956" width="26.08984375" style="2839" customWidth="1"/>
    <col min="7957" max="8192" width="8.90625" style="2839"/>
    <col min="8193" max="8193" width="9.453125" style="2839" customWidth="1"/>
    <col min="8194" max="8194" width="8.90625" style="2839"/>
    <col min="8195" max="8197" width="12.90625" style="2839" customWidth="1"/>
    <col min="8198" max="8198" width="47.453125" style="2839" customWidth="1"/>
    <col min="8199" max="8199" width="13" style="2839" customWidth="1"/>
    <col min="8200" max="8201" width="8.90625" style="2839"/>
    <col min="8202" max="8202" width="5.7265625" style="2839" customWidth="1"/>
    <col min="8203" max="8203" width="11.7265625" style="2839" customWidth="1"/>
    <col min="8204" max="8205" width="10.7265625" style="2839" customWidth="1"/>
    <col min="8206" max="8206" width="10" style="2839" customWidth="1"/>
    <col min="8207" max="8208" width="10.453125" style="2839" bestFit="1" customWidth="1"/>
    <col min="8209" max="8209" width="10" style="2839" customWidth="1"/>
    <col min="8210" max="8210" width="10.08984375" style="2839" customWidth="1"/>
    <col min="8211" max="8211" width="10" style="2839" customWidth="1"/>
    <col min="8212" max="8212" width="26.08984375" style="2839" customWidth="1"/>
    <col min="8213" max="8448" width="8.90625" style="2839"/>
    <col min="8449" max="8449" width="9.453125" style="2839" customWidth="1"/>
    <col min="8450" max="8450" width="8.90625" style="2839"/>
    <col min="8451" max="8453" width="12.90625" style="2839" customWidth="1"/>
    <col min="8454" max="8454" width="47.453125" style="2839" customWidth="1"/>
    <col min="8455" max="8455" width="13" style="2839" customWidth="1"/>
    <col min="8456" max="8457" width="8.90625" style="2839"/>
    <col min="8458" max="8458" width="5.7265625" style="2839" customWidth="1"/>
    <col min="8459" max="8459" width="11.7265625" style="2839" customWidth="1"/>
    <col min="8460" max="8461" width="10.7265625" style="2839" customWidth="1"/>
    <col min="8462" max="8462" width="10" style="2839" customWidth="1"/>
    <col min="8463" max="8464" width="10.453125" style="2839" bestFit="1" customWidth="1"/>
    <col min="8465" max="8465" width="10" style="2839" customWidth="1"/>
    <col min="8466" max="8466" width="10.08984375" style="2839" customWidth="1"/>
    <col min="8467" max="8467" width="10" style="2839" customWidth="1"/>
    <col min="8468" max="8468" width="26.08984375" style="2839" customWidth="1"/>
    <col min="8469" max="8704" width="8.90625" style="2839"/>
    <col min="8705" max="8705" width="9.453125" style="2839" customWidth="1"/>
    <col min="8706" max="8706" width="8.90625" style="2839"/>
    <col min="8707" max="8709" width="12.90625" style="2839" customWidth="1"/>
    <col min="8710" max="8710" width="47.453125" style="2839" customWidth="1"/>
    <col min="8711" max="8711" width="13" style="2839" customWidth="1"/>
    <col min="8712" max="8713" width="8.90625" style="2839"/>
    <col min="8714" max="8714" width="5.7265625" style="2839" customWidth="1"/>
    <col min="8715" max="8715" width="11.7265625" style="2839" customWidth="1"/>
    <col min="8716" max="8717" width="10.7265625" style="2839" customWidth="1"/>
    <col min="8718" max="8718" width="10" style="2839" customWidth="1"/>
    <col min="8719" max="8720" width="10.453125" style="2839" bestFit="1" customWidth="1"/>
    <col min="8721" max="8721" width="10" style="2839" customWidth="1"/>
    <col min="8722" max="8722" width="10.08984375" style="2839" customWidth="1"/>
    <col min="8723" max="8723" width="10" style="2839" customWidth="1"/>
    <col min="8724" max="8724" width="26.08984375" style="2839" customWidth="1"/>
    <col min="8725" max="8960" width="8.90625" style="2839"/>
    <col min="8961" max="8961" width="9.453125" style="2839" customWidth="1"/>
    <col min="8962" max="8962" width="8.90625" style="2839"/>
    <col min="8963" max="8965" width="12.90625" style="2839" customWidth="1"/>
    <col min="8966" max="8966" width="47.453125" style="2839" customWidth="1"/>
    <col min="8967" max="8967" width="13" style="2839" customWidth="1"/>
    <col min="8968" max="8969" width="8.90625" style="2839"/>
    <col min="8970" max="8970" width="5.7265625" style="2839" customWidth="1"/>
    <col min="8971" max="8971" width="11.7265625" style="2839" customWidth="1"/>
    <col min="8972" max="8973" width="10.7265625" style="2839" customWidth="1"/>
    <col min="8974" max="8974" width="10" style="2839" customWidth="1"/>
    <col min="8975" max="8976" width="10.453125" style="2839" bestFit="1" customWidth="1"/>
    <col min="8977" max="8977" width="10" style="2839" customWidth="1"/>
    <col min="8978" max="8978" width="10.08984375" style="2839" customWidth="1"/>
    <col min="8979" max="8979" width="10" style="2839" customWidth="1"/>
    <col min="8980" max="8980" width="26.08984375" style="2839" customWidth="1"/>
    <col min="8981" max="9216" width="8.90625" style="2839"/>
    <col min="9217" max="9217" width="9.453125" style="2839" customWidth="1"/>
    <col min="9218" max="9218" width="8.90625" style="2839"/>
    <col min="9219" max="9221" width="12.90625" style="2839" customWidth="1"/>
    <col min="9222" max="9222" width="47.453125" style="2839" customWidth="1"/>
    <col min="9223" max="9223" width="13" style="2839" customWidth="1"/>
    <col min="9224" max="9225" width="8.90625" style="2839"/>
    <col min="9226" max="9226" width="5.7265625" style="2839" customWidth="1"/>
    <col min="9227" max="9227" width="11.7265625" style="2839" customWidth="1"/>
    <col min="9228" max="9229" width="10.7265625" style="2839" customWidth="1"/>
    <col min="9230" max="9230" width="10" style="2839" customWidth="1"/>
    <col min="9231" max="9232" width="10.453125" style="2839" bestFit="1" customWidth="1"/>
    <col min="9233" max="9233" width="10" style="2839" customWidth="1"/>
    <col min="9234" max="9234" width="10.08984375" style="2839" customWidth="1"/>
    <col min="9235" max="9235" width="10" style="2839" customWidth="1"/>
    <col min="9236" max="9236" width="26.08984375" style="2839" customWidth="1"/>
    <col min="9237" max="9472" width="8.90625" style="2839"/>
    <col min="9473" max="9473" width="9.453125" style="2839" customWidth="1"/>
    <col min="9474" max="9474" width="8.90625" style="2839"/>
    <col min="9475" max="9477" width="12.90625" style="2839" customWidth="1"/>
    <col min="9478" max="9478" width="47.453125" style="2839" customWidth="1"/>
    <col min="9479" max="9479" width="13" style="2839" customWidth="1"/>
    <col min="9480" max="9481" width="8.90625" style="2839"/>
    <col min="9482" max="9482" width="5.7265625" style="2839" customWidth="1"/>
    <col min="9483" max="9483" width="11.7265625" style="2839" customWidth="1"/>
    <col min="9484" max="9485" width="10.7265625" style="2839" customWidth="1"/>
    <col min="9486" max="9486" width="10" style="2839" customWidth="1"/>
    <col min="9487" max="9488" width="10.453125" style="2839" bestFit="1" customWidth="1"/>
    <col min="9489" max="9489" width="10" style="2839" customWidth="1"/>
    <col min="9490" max="9490" width="10.08984375" style="2839" customWidth="1"/>
    <col min="9491" max="9491" width="10" style="2839" customWidth="1"/>
    <col min="9492" max="9492" width="26.08984375" style="2839" customWidth="1"/>
    <col min="9493" max="9728" width="8.90625" style="2839"/>
    <col min="9729" max="9729" width="9.453125" style="2839" customWidth="1"/>
    <col min="9730" max="9730" width="8.90625" style="2839"/>
    <col min="9731" max="9733" width="12.90625" style="2839" customWidth="1"/>
    <col min="9734" max="9734" width="47.453125" style="2839" customWidth="1"/>
    <col min="9735" max="9735" width="13" style="2839" customWidth="1"/>
    <col min="9736" max="9737" width="8.90625" style="2839"/>
    <col min="9738" max="9738" width="5.7265625" style="2839" customWidth="1"/>
    <col min="9739" max="9739" width="11.7265625" style="2839" customWidth="1"/>
    <col min="9740" max="9741" width="10.7265625" style="2839" customWidth="1"/>
    <col min="9742" max="9742" width="10" style="2839" customWidth="1"/>
    <col min="9743" max="9744" width="10.453125" style="2839" bestFit="1" customWidth="1"/>
    <col min="9745" max="9745" width="10" style="2839" customWidth="1"/>
    <col min="9746" max="9746" width="10.08984375" style="2839" customWidth="1"/>
    <col min="9747" max="9747" width="10" style="2839" customWidth="1"/>
    <col min="9748" max="9748" width="26.08984375" style="2839" customWidth="1"/>
    <col min="9749" max="9984" width="8.90625" style="2839"/>
    <col min="9985" max="9985" width="9.453125" style="2839" customWidth="1"/>
    <col min="9986" max="9986" width="8.90625" style="2839"/>
    <col min="9987" max="9989" width="12.90625" style="2839" customWidth="1"/>
    <col min="9990" max="9990" width="47.453125" style="2839" customWidth="1"/>
    <col min="9991" max="9991" width="13" style="2839" customWidth="1"/>
    <col min="9992" max="9993" width="8.90625" style="2839"/>
    <col min="9994" max="9994" width="5.7265625" style="2839" customWidth="1"/>
    <col min="9995" max="9995" width="11.7265625" style="2839" customWidth="1"/>
    <col min="9996" max="9997" width="10.7265625" style="2839" customWidth="1"/>
    <col min="9998" max="9998" width="10" style="2839" customWidth="1"/>
    <col min="9999" max="10000" width="10.453125" style="2839" bestFit="1" customWidth="1"/>
    <col min="10001" max="10001" width="10" style="2839" customWidth="1"/>
    <col min="10002" max="10002" width="10.08984375" style="2839" customWidth="1"/>
    <col min="10003" max="10003" width="10" style="2839" customWidth="1"/>
    <col min="10004" max="10004" width="26.08984375" style="2839" customWidth="1"/>
    <col min="10005" max="10240" width="8.90625" style="2839"/>
    <col min="10241" max="10241" width="9.453125" style="2839" customWidth="1"/>
    <col min="10242" max="10242" width="8.90625" style="2839"/>
    <col min="10243" max="10245" width="12.90625" style="2839" customWidth="1"/>
    <col min="10246" max="10246" width="47.453125" style="2839" customWidth="1"/>
    <col min="10247" max="10247" width="13" style="2839" customWidth="1"/>
    <col min="10248" max="10249" width="8.90625" style="2839"/>
    <col min="10250" max="10250" width="5.7265625" style="2839" customWidth="1"/>
    <col min="10251" max="10251" width="11.7265625" style="2839" customWidth="1"/>
    <col min="10252" max="10253" width="10.7265625" style="2839" customWidth="1"/>
    <col min="10254" max="10254" width="10" style="2839" customWidth="1"/>
    <col min="10255" max="10256" width="10.453125" style="2839" bestFit="1" customWidth="1"/>
    <col min="10257" max="10257" width="10" style="2839" customWidth="1"/>
    <col min="10258" max="10258" width="10.08984375" style="2839" customWidth="1"/>
    <col min="10259" max="10259" width="10" style="2839" customWidth="1"/>
    <col min="10260" max="10260" width="26.08984375" style="2839" customWidth="1"/>
    <col min="10261" max="10496" width="8.90625" style="2839"/>
    <col min="10497" max="10497" width="9.453125" style="2839" customWidth="1"/>
    <col min="10498" max="10498" width="8.90625" style="2839"/>
    <col min="10499" max="10501" width="12.90625" style="2839" customWidth="1"/>
    <col min="10502" max="10502" width="47.453125" style="2839" customWidth="1"/>
    <col min="10503" max="10503" width="13" style="2839" customWidth="1"/>
    <col min="10504" max="10505" width="8.90625" style="2839"/>
    <col min="10506" max="10506" width="5.7265625" style="2839" customWidth="1"/>
    <col min="10507" max="10507" width="11.7265625" style="2839" customWidth="1"/>
    <col min="10508" max="10509" width="10.7265625" style="2839" customWidth="1"/>
    <col min="10510" max="10510" width="10" style="2839" customWidth="1"/>
    <col min="10511" max="10512" width="10.453125" style="2839" bestFit="1" customWidth="1"/>
    <col min="10513" max="10513" width="10" style="2839" customWidth="1"/>
    <col min="10514" max="10514" width="10.08984375" style="2839" customWidth="1"/>
    <col min="10515" max="10515" width="10" style="2839" customWidth="1"/>
    <col min="10516" max="10516" width="26.08984375" style="2839" customWidth="1"/>
    <col min="10517" max="10752" width="8.90625" style="2839"/>
    <col min="10753" max="10753" width="9.453125" style="2839" customWidth="1"/>
    <col min="10754" max="10754" width="8.90625" style="2839"/>
    <col min="10755" max="10757" width="12.90625" style="2839" customWidth="1"/>
    <col min="10758" max="10758" width="47.453125" style="2839" customWidth="1"/>
    <col min="10759" max="10759" width="13" style="2839" customWidth="1"/>
    <col min="10760" max="10761" width="8.90625" style="2839"/>
    <col min="10762" max="10762" width="5.7265625" style="2839" customWidth="1"/>
    <col min="10763" max="10763" width="11.7265625" style="2839" customWidth="1"/>
    <col min="10764" max="10765" width="10.7265625" style="2839" customWidth="1"/>
    <col min="10766" max="10766" width="10" style="2839" customWidth="1"/>
    <col min="10767" max="10768" width="10.453125" style="2839" bestFit="1" customWidth="1"/>
    <col min="10769" max="10769" width="10" style="2839" customWidth="1"/>
    <col min="10770" max="10770" width="10.08984375" style="2839" customWidth="1"/>
    <col min="10771" max="10771" width="10" style="2839" customWidth="1"/>
    <col min="10772" max="10772" width="26.08984375" style="2839" customWidth="1"/>
    <col min="10773" max="11008" width="8.90625" style="2839"/>
    <col min="11009" max="11009" width="9.453125" style="2839" customWidth="1"/>
    <col min="11010" max="11010" width="8.90625" style="2839"/>
    <col min="11011" max="11013" width="12.90625" style="2839" customWidth="1"/>
    <col min="11014" max="11014" width="47.453125" style="2839" customWidth="1"/>
    <col min="11015" max="11015" width="13" style="2839" customWidth="1"/>
    <col min="11016" max="11017" width="8.90625" style="2839"/>
    <col min="11018" max="11018" width="5.7265625" style="2839" customWidth="1"/>
    <col min="11019" max="11019" width="11.7265625" style="2839" customWidth="1"/>
    <col min="11020" max="11021" width="10.7265625" style="2839" customWidth="1"/>
    <col min="11022" max="11022" width="10" style="2839" customWidth="1"/>
    <col min="11023" max="11024" width="10.453125" style="2839" bestFit="1" customWidth="1"/>
    <col min="11025" max="11025" width="10" style="2839" customWidth="1"/>
    <col min="11026" max="11026" width="10.08984375" style="2839" customWidth="1"/>
    <col min="11027" max="11027" width="10" style="2839" customWidth="1"/>
    <col min="11028" max="11028" width="26.08984375" style="2839" customWidth="1"/>
    <col min="11029" max="11264" width="8.90625" style="2839"/>
    <col min="11265" max="11265" width="9.453125" style="2839" customWidth="1"/>
    <col min="11266" max="11266" width="8.90625" style="2839"/>
    <col min="11267" max="11269" width="12.90625" style="2839" customWidth="1"/>
    <col min="11270" max="11270" width="47.453125" style="2839" customWidth="1"/>
    <col min="11271" max="11271" width="13" style="2839" customWidth="1"/>
    <col min="11272" max="11273" width="8.90625" style="2839"/>
    <col min="11274" max="11274" width="5.7265625" style="2839" customWidth="1"/>
    <col min="11275" max="11275" width="11.7265625" style="2839" customWidth="1"/>
    <col min="11276" max="11277" width="10.7265625" style="2839" customWidth="1"/>
    <col min="11278" max="11278" width="10" style="2839" customWidth="1"/>
    <col min="11279" max="11280" width="10.453125" style="2839" bestFit="1" customWidth="1"/>
    <col min="11281" max="11281" width="10" style="2839" customWidth="1"/>
    <col min="11282" max="11282" width="10.08984375" style="2839" customWidth="1"/>
    <col min="11283" max="11283" width="10" style="2839" customWidth="1"/>
    <col min="11284" max="11284" width="26.08984375" style="2839" customWidth="1"/>
    <col min="11285" max="11520" width="8.90625" style="2839"/>
    <col min="11521" max="11521" width="9.453125" style="2839" customWidth="1"/>
    <col min="11522" max="11522" width="8.90625" style="2839"/>
    <col min="11523" max="11525" width="12.90625" style="2839" customWidth="1"/>
    <col min="11526" max="11526" width="47.453125" style="2839" customWidth="1"/>
    <col min="11527" max="11527" width="13" style="2839" customWidth="1"/>
    <col min="11528" max="11529" width="8.90625" style="2839"/>
    <col min="11530" max="11530" width="5.7265625" style="2839" customWidth="1"/>
    <col min="11531" max="11531" width="11.7265625" style="2839" customWidth="1"/>
    <col min="11532" max="11533" width="10.7265625" style="2839" customWidth="1"/>
    <col min="11534" max="11534" width="10" style="2839" customWidth="1"/>
    <col min="11535" max="11536" width="10.453125" style="2839" bestFit="1" customWidth="1"/>
    <col min="11537" max="11537" width="10" style="2839" customWidth="1"/>
    <col min="11538" max="11538" width="10.08984375" style="2839" customWidth="1"/>
    <col min="11539" max="11539" width="10" style="2839" customWidth="1"/>
    <col min="11540" max="11540" width="26.08984375" style="2839" customWidth="1"/>
    <col min="11541" max="11776" width="8.90625" style="2839"/>
    <col min="11777" max="11777" width="9.453125" style="2839" customWidth="1"/>
    <col min="11778" max="11778" width="8.90625" style="2839"/>
    <col min="11779" max="11781" width="12.90625" style="2839" customWidth="1"/>
    <col min="11782" max="11782" width="47.453125" style="2839" customWidth="1"/>
    <col min="11783" max="11783" width="13" style="2839" customWidth="1"/>
    <col min="11784" max="11785" width="8.90625" style="2839"/>
    <col min="11786" max="11786" width="5.7265625" style="2839" customWidth="1"/>
    <col min="11787" max="11787" width="11.7265625" style="2839" customWidth="1"/>
    <col min="11788" max="11789" width="10.7265625" style="2839" customWidth="1"/>
    <col min="11790" max="11790" width="10" style="2839" customWidth="1"/>
    <col min="11791" max="11792" width="10.453125" style="2839" bestFit="1" customWidth="1"/>
    <col min="11793" max="11793" width="10" style="2839" customWidth="1"/>
    <col min="11794" max="11794" width="10.08984375" style="2839" customWidth="1"/>
    <col min="11795" max="11795" width="10" style="2839" customWidth="1"/>
    <col min="11796" max="11796" width="26.08984375" style="2839" customWidth="1"/>
    <col min="11797" max="12032" width="8.90625" style="2839"/>
    <col min="12033" max="12033" width="9.453125" style="2839" customWidth="1"/>
    <col min="12034" max="12034" width="8.90625" style="2839"/>
    <col min="12035" max="12037" width="12.90625" style="2839" customWidth="1"/>
    <col min="12038" max="12038" width="47.453125" style="2839" customWidth="1"/>
    <col min="12039" max="12039" width="13" style="2839" customWidth="1"/>
    <col min="12040" max="12041" width="8.90625" style="2839"/>
    <col min="12042" max="12042" width="5.7265625" style="2839" customWidth="1"/>
    <col min="12043" max="12043" width="11.7265625" style="2839" customWidth="1"/>
    <col min="12044" max="12045" width="10.7265625" style="2839" customWidth="1"/>
    <col min="12046" max="12046" width="10" style="2839" customWidth="1"/>
    <col min="12047" max="12048" width="10.453125" style="2839" bestFit="1" customWidth="1"/>
    <col min="12049" max="12049" width="10" style="2839" customWidth="1"/>
    <col min="12050" max="12050" width="10.08984375" style="2839" customWidth="1"/>
    <col min="12051" max="12051" width="10" style="2839" customWidth="1"/>
    <col min="12052" max="12052" width="26.08984375" style="2839" customWidth="1"/>
    <col min="12053" max="12288" width="8.90625" style="2839"/>
    <col min="12289" max="12289" width="9.453125" style="2839" customWidth="1"/>
    <col min="12290" max="12290" width="8.90625" style="2839"/>
    <col min="12291" max="12293" width="12.90625" style="2839" customWidth="1"/>
    <col min="12294" max="12294" width="47.453125" style="2839" customWidth="1"/>
    <col min="12295" max="12295" width="13" style="2839" customWidth="1"/>
    <col min="12296" max="12297" width="8.90625" style="2839"/>
    <col min="12298" max="12298" width="5.7265625" style="2839" customWidth="1"/>
    <col min="12299" max="12299" width="11.7265625" style="2839" customWidth="1"/>
    <col min="12300" max="12301" width="10.7265625" style="2839" customWidth="1"/>
    <col min="12302" max="12302" width="10" style="2839" customWidth="1"/>
    <col min="12303" max="12304" width="10.453125" style="2839" bestFit="1" customWidth="1"/>
    <col min="12305" max="12305" width="10" style="2839" customWidth="1"/>
    <col min="12306" max="12306" width="10.08984375" style="2839" customWidth="1"/>
    <col min="12307" max="12307" width="10" style="2839" customWidth="1"/>
    <col min="12308" max="12308" width="26.08984375" style="2839" customWidth="1"/>
    <col min="12309" max="12544" width="8.90625" style="2839"/>
    <col min="12545" max="12545" width="9.453125" style="2839" customWidth="1"/>
    <col min="12546" max="12546" width="8.90625" style="2839"/>
    <col min="12547" max="12549" width="12.90625" style="2839" customWidth="1"/>
    <col min="12550" max="12550" width="47.453125" style="2839" customWidth="1"/>
    <col min="12551" max="12551" width="13" style="2839" customWidth="1"/>
    <col min="12552" max="12553" width="8.90625" style="2839"/>
    <col min="12554" max="12554" width="5.7265625" style="2839" customWidth="1"/>
    <col min="12555" max="12555" width="11.7265625" style="2839" customWidth="1"/>
    <col min="12556" max="12557" width="10.7265625" style="2839" customWidth="1"/>
    <col min="12558" max="12558" width="10" style="2839" customWidth="1"/>
    <col min="12559" max="12560" width="10.453125" style="2839" bestFit="1" customWidth="1"/>
    <col min="12561" max="12561" width="10" style="2839" customWidth="1"/>
    <col min="12562" max="12562" width="10.08984375" style="2839" customWidth="1"/>
    <col min="12563" max="12563" width="10" style="2839" customWidth="1"/>
    <col min="12564" max="12564" width="26.08984375" style="2839" customWidth="1"/>
    <col min="12565" max="12800" width="8.90625" style="2839"/>
    <col min="12801" max="12801" width="9.453125" style="2839" customWidth="1"/>
    <col min="12802" max="12802" width="8.90625" style="2839"/>
    <col min="12803" max="12805" width="12.90625" style="2839" customWidth="1"/>
    <col min="12806" max="12806" width="47.453125" style="2839" customWidth="1"/>
    <col min="12807" max="12807" width="13" style="2839" customWidth="1"/>
    <col min="12808" max="12809" width="8.90625" style="2839"/>
    <col min="12810" max="12810" width="5.7265625" style="2839" customWidth="1"/>
    <col min="12811" max="12811" width="11.7265625" style="2839" customWidth="1"/>
    <col min="12812" max="12813" width="10.7265625" style="2839" customWidth="1"/>
    <col min="12814" max="12814" width="10" style="2839" customWidth="1"/>
    <col min="12815" max="12816" width="10.453125" style="2839" bestFit="1" customWidth="1"/>
    <col min="12817" max="12817" width="10" style="2839" customWidth="1"/>
    <col min="12818" max="12818" width="10.08984375" style="2839" customWidth="1"/>
    <col min="12819" max="12819" width="10" style="2839" customWidth="1"/>
    <col min="12820" max="12820" width="26.08984375" style="2839" customWidth="1"/>
    <col min="12821" max="13056" width="8.90625" style="2839"/>
    <col min="13057" max="13057" width="9.453125" style="2839" customWidth="1"/>
    <col min="13058" max="13058" width="8.90625" style="2839"/>
    <col min="13059" max="13061" width="12.90625" style="2839" customWidth="1"/>
    <col min="13062" max="13062" width="47.453125" style="2839" customWidth="1"/>
    <col min="13063" max="13063" width="13" style="2839" customWidth="1"/>
    <col min="13064" max="13065" width="8.90625" style="2839"/>
    <col min="13066" max="13066" width="5.7265625" style="2839" customWidth="1"/>
    <col min="13067" max="13067" width="11.7265625" style="2839" customWidth="1"/>
    <col min="13068" max="13069" width="10.7265625" style="2839" customWidth="1"/>
    <col min="13070" max="13070" width="10" style="2839" customWidth="1"/>
    <col min="13071" max="13072" width="10.453125" style="2839" bestFit="1" customWidth="1"/>
    <col min="13073" max="13073" width="10" style="2839" customWidth="1"/>
    <col min="13074" max="13074" width="10.08984375" style="2839" customWidth="1"/>
    <col min="13075" max="13075" width="10" style="2839" customWidth="1"/>
    <col min="13076" max="13076" width="26.08984375" style="2839" customWidth="1"/>
    <col min="13077" max="13312" width="8.90625" style="2839"/>
    <col min="13313" max="13313" width="9.453125" style="2839" customWidth="1"/>
    <col min="13314" max="13314" width="8.90625" style="2839"/>
    <col min="13315" max="13317" width="12.90625" style="2839" customWidth="1"/>
    <col min="13318" max="13318" width="47.453125" style="2839" customWidth="1"/>
    <col min="13319" max="13319" width="13" style="2839" customWidth="1"/>
    <col min="13320" max="13321" width="8.90625" style="2839"/>
    <col min="13322" max="13322" width="5.7265625" style="2839" customWidth="1"/>
    <col min="13323" max="13323" width="11.7265625" style="2839" customWidth="1"/>
    <col min="13324" max="13325" width="10.7265625" style="2839" customWidth="1"/>
    <col min="13326" max="13326" width="10" style="2839" customWidth="1"/>
    <col min="13327" max="13328" width="10.453125" style="2839" bestFit="1" customWidth="1"/>
    <col min="13329" max="13329" width="10" style="2839" customWidth="1"/>
    <col min="13330" max="13330" width="10.08984375" style="2839" customWidth="1"/>
    <col min="13331" max="13331" width="10" style="2839" customWidth="1"/>
    <col min="13332" max="13332" width="26.08984375" style="2839" customWidth="1"/>
    <col min="13333" max="13568" width="8.90625" style="2839"/>
    <col min="13569" max="13569" width="9.453125" style="2839" customWidth="1"/>
    <col min="13570" max="13570" width="8.90625" style="2839"/>
    <col min="13571" max="13573" width="12.90625" style="2839" customWidth="1"/>
    <col min="13574" max="13574" width="47.453125" style="2839" customWidth="1"/>
    <col min="13575" max="13575" width="13" style="2839" customWidth="1"/>
    <col min="13576" max="13577" width="8.90625" style="2839"/>
    <col min="13578" max="13578" width="5.7265625" style="2839" customWidth="1"/>
    <col min="13579" max="13579" width="11.7265625" style="2839" customWidth="1"/>
    <col min="13580" max="13581" width="10.7265625" style="2839" customWidth="1"/>
    <col min="13582" max="13582" width="10" style="2839" customWidth="1"/>
    <col min="13583" max="13584" width="10.453125" style="2839" bestFit="1" customWidth="1"/>
    <col min="13585" max="13585" width="10" style="2839" customWidth="1"/>
    <col min="13586" max="13586" width="10.08984375" style="2839" customWidth="1"/>
    <col min="13587" max="13587" width="10" style="2839" customWidth="1"/>
    <col min="13588" max="13588" width="26.08984375" style="2839" customWidth="1"/>
    <col min="13589" max="13824" width="8.90625" style="2839"/>
    <col min="13825" max="13825" width="9.453125" style="2839" customWidth="1"/>
    <col min="13826" max="13826" width="8.90625" style="2839"/>
    <col min="13827" max="13829" width="12.90625" style="2839" customWidth="1"/>
    <col min="13830" max="13830" width="47.453125" style="2839" customWidth="1"/>
    <col min="13831" max="13831" width="13" style="2839" customWidth="1"/>
    <col min="13832" max="13833" width="8.90625" style="2839"/>
    <col min="13834" max="13834" width="5.7265625" style="2839" customWidth="1"/>
    <col min="13835" max="13835" width="11.7265625" style="2839" customWidth="1"/>
    <col min="13836" max="13837" width="10.7265625" style="2839" customWidth="1"/>
    <col min="13838" max="13838" width="10" style="2839" customWidth="1"/>
    <col min="13839" max="13840" width="10.453125" style="2839" bestFit="1" customWidth="1"/>
    <col min="13841" max="13841" width="10" style="2839" customWidth="1"/>
    <col min="13842" max="13842" width="10.08984375" style="2839" customWidth="1"/>
    <col min="13843" max="13843" width="10" style="2839" customWidth="1"/>
    <col min="13844" max="13844" width="26.08984375" style="2839" customWidth="1"/>
    <col min="13845" max="14080" width="8.90625" style="2839"/>
    <col min="14081" max="14081" width="9.453125" style="2839" customWidth="1"/>
    <col min="14082" max="14082" width="8.90625" style="2839"/>
    <col min="14083" max="14085" width="12.90625" style="2839" customWidth="1"/>
    <col min="14086" max="14086" width="47.453125" style="2839" customWidth="1"/>
    <col min="14087" max="14087" width="13" style="2839" customWidth="1"/>
    <col min="14088" max="14089" width="8.90625" style="2839"/>
    <col min="14090" max="14090" width="5.7265625" style="2839" customWidth="1"/>
    <col min="14091" max="14091" width="11.7265625" style="2839" customWidth="1"/>
    <col min="14092" max="14093" width="10.7265625" style="2839" customWidth="1"/>
    <col min="14094" max="14094" width="10" style="2839" customWidth="1"/>
    <col min="14095" max="14096" width="10.453125" style="2839" bestFit="1" customWidth="1"/>
    <col min="14097" max="14097" width="10" style="2839" customWidth="1"/>
    <col min="14098" max="14098" width="10.08984375" style="2839" customWidth="1"/>
    <col min="14099" max="14099" width="10" style="2839" customWidth="1"/>
    <col min="14100" max="14100" width="26.08984375" style="2839" customWidth="1"/>
    <col min="14101" max="14336" width="8.90625" style="2839"/>
    <col min="14337" max="14337" width="9.453125" style="2839" customWidth="1"/>
    <col min="14338" max="14338" width="8.90625" style="2839"/>
    <col min="14339" max="14341" width="12.90625" style="2839" customWidth="1"/>
    <col min="14342" max="14342" width="47.453125" style="2839" customWidth="1"/>
    <col min="14343" max="14343" width="13" style="2839" customWidth="1"/>
    <col min="14344" max="14345" width="8.90625" style="2839"/>
    <col min="14346" max="14346" width="5.7265625" style="2839" customWidth="1"/>
    <col min="14347" max="14347" width="11.7265625" style="2839" customWidth="1"/>
    <col min="14348" max="14349" width="10.7265625" style="2839" customWidth="1"/>
    <col min="14350" max="14350" width="10" style="2839" customWidth="1"/>
    <col min="14351" max="14352" width="10.453125" style="2839" bestFit="1" customWidth="1"/>
    <col min="14353" max="14353" width="10" style="2839" customWidth="1"/>
    <col min="14354" max="14354" width="10.08984375" style="2839" customWidth="1"/>
    <col min="14355" max="14355" width="10" style="2839" customWidth="1"/>
    <col min="14356" max="14356" width="26.08984375" style="2839" customWidth="1"/>
    <col min="14357" max="14592" width="8.90625" style="2839"/>
    <col min="14593" max="14593" width="9.453125" style="2839" customWidth="1"/>
    <col min="14594" max="14594" width="8.90625" style="2839"/>
    <col min="14595" max="14597" width="12.90625" style="2839" customWidth="1"/>
    <col min="14598" max="14598" width="47.453125" style="2839" customWidth="1"/>
    <col min="14599" max="14599" width="13" style="2839" customWidth="1"/>
    <col min="14600" max="14601" width="8.90625" style="2839"/>
    <col min="14602" max="14602" width="5.7265625" style="2839" customWidth="1"/>
    <col min="14603" max="14603" width="11.7265625" style="2839" customWidth="1"/>
    <col min="14604" max="14605" width="10.7265625" style="2839" customWidth="1"/>
    <col min="14606" max="14606" width="10" style="2839" customWidth="1"/>
    <col min="14607" max="14608" width="10.453125" style="2839" bestFit="1" customWidth="1"/>
    <col min="14609" max="14609" width="10" style="2839" customWidth="1"/>
    <col min="14610" max="14610" width="10.08984375" style="2839" customWidth="1"/>
    <col min="14611" max="14611" width="10" style="2839" customWidth="1"/>
    <col min="14612" max="14612" width="26.08984375" style="2839" customWidth="1"/>
    <col min="14613" max="14848" width="8.90625" style="2839"/>
    <col min="14849" max="14849" width="9.453125" style="2839" customWidth="1"/>
    <col min="14850" max="14850" width="8.90625" style="2839"/>
    <col min="14851" max="14853" width="12.90625" style="2839" customWidth="1"/>
    <col min="14854" max="14854" width="47.453125" style="2839" customWidth="1"/>
    <col min="14855" max="14855" width="13" style="2839" customWidth="1"/>
    <col min="14856" max="14857" width="8.90625" style="2839"/>
    <col min="14858" max="14858" width="5.7265625" style="2839" customWidth="1"/>
    <col min="14859" max="14859" width="11.7265625" style="2839" customWidth="1"/>
    <col min="14860" max="14861" width="10.7265625" style="2839" customWidth="1"/>
    <col min="14862" max="14862" width="10" style="2839" customWidth="1"/>
    <col min="14863" max="14864" width="10.453125" style="2839" bestFit="1" customWidth="1"/>
    <col min="14865" max="14865" width="10" style="2839" customWidth="1"/>
    <col min="14866" max="14866" width="10.08984375" style="2839" customWidth="1"/>
    <col min="14867" max="14867" width="10" style="2839" customWidth="1"/>
    <col min="14868" max="14868" width="26.08984375" style="2839" customWidth="1"/>
    <col min="14869" max="15104" width="8.90625" style="2839"/>
    <col min="15105" max="15105" width="9.453125" style="2839" customWidth="1"/>
    <col min="15106" max="15106" width="8.90625" style="2839"/>
    <col min="15107" max="15109" width="12.90625" style="2839" customWidth="1"/>
    <col min="15110" max="15110" width="47.453125" style="2839" customWidth="1"/>
    <col min="15111" max="15111" width="13" style="2839" customWidth="1"/>
    <col min="15112" max="15113" width="8.90625" style="2839"/>
    <col min="15114" max="15114" width="5.7265625" style="2839" customWidth="1"/>
    <col min="15115" max="15115" width="11.7265625" style="2839" customWidth="1"/>
    <col min="15116" max="15117" width="10.7265625" style="2839" customWidth="1"/>
    <col min="15118" max="15118" width="10" style="2839" customWidth="1"/>
    <col min="15119" max="15120" width="10.453125" style="2839" bestFit="1" customWidth="1"/>
    <col min="15121" max="15121" width="10" style="2839" customWidth="1"/>
    <col min="15122" max="15122" width="10.08984375" style="2839" customWidth="1"/>
    <col min="15123" max="15123" width="10" style="2839" customWidth="1"/>
    <col min="15124" max="15124" width="26.08984375" style="2839" customWidth="1"/>
    <col min="15125" max="15360" width="8.90625" style="2839"/>
    <col min="15361" max="15361" width="9.453125" style="2839" customWidth="1"/>
    <col min="15362" max="15362" width="8.90625" style="2839"/>
    <col min="15363" max="15365" width="12.90625" style="2839" customWidth="1"/>
    <col min="15366" max="15366" width="47.453125" style="2839" customWidth="1"/>
    <col min="15367" max="15367" width="13" style="2839" customWidth="1"/>
    <col min="15368" max="15369" width="8.90625" style="2839"/>
    <col min="15370" max="15370" width="5.7265625" style="2839" customWidth="1"/>
    <col min="15371" max="15371" width="11.7265625" style="2839" customWidth="1"/>
    <col min="15372" max="15373" width="10.7265625" style="2839" customWidth="1"/>
    <col min="15374" max="15374" width="10" style="2839" customWidth="1"/>
    <col min="15375" max="15376" width="10.453125" style="2839" bestFit="1" customWidth="1"/>
    <col min="15377" max="15377" width="10" style="2839" customWidth="1"/>
    <col min="15378" max="15378" width="10.08984375" style="2839" customWidth="1"/>
    <col min="15379" max="15379" width="10" style="2839" customWidth="1"/>
    <col min="15380" max="15380" width="26.08984375" style="2839" customWidth="1"/>
    <col min="15381" max="15616" width="8.90625" style="2839"/>
    <col min="15617" max="15617" width="9.453125" style="2839" customWidth="1"/>
    <col min="15618" max="15618" width="8.90625" style="2839"/>
    <col min="15619" max="15621" width="12.90625" style="2839" customWidth="1"/>
    <col min="15622" max="15622" width="47.453125" style="2839" customWidth="1"/>
    <col min="15623" max="15623" width="13" style="2839" customWidth="1"/>
    <col min="15624" max="15625" width="8.90625" style="2839"/>
    <col min="15626" max="15626" width="5.7265625" style="2839" customWidth="1"/>
    <col min="15627" max="15627" width="11.7265625" style="2839" customWidth="1"/>
    <col min="15628" max="15629" width="10.7265625" style="2839" customWidth="1"/>
    <col min="15630" max="15630" width="10" style="2839" customWidth="1"/>
    <col min="15631" max="15632" width="10.453125" style="2839" bestFit="1" customWidth="1"/>
    <col min="15633" max="15633" width="10" style="2839" customWidth="1"/>
    <col min="15634" max="15634" width="10.08984375" style="2839" customWidth="1"/>
    <col min="15635" max="15635" width="10" style="2839" customWidth="1"/>
    <col min="15636" max="15636" width="26.08984375" style="2839" customWidth="1"/>
    <col min="15637" max="15872" width="8.90625" style="2839"/>
    <col min="15873" max="15873" width="9.453125" style="2839" customWidth="1"/>
    <col min="15874" max="15874" width="8.90625" style="2839"/>
    <col min="15875" max="15877" width="12.90625" style="2839" customWidth="1"/>
    <col min="15878" max="15878" width="47.453125" style="2839" customWidth="1"/>
    <col min="15879" max="15879" width="13" style="2839" customWidth="1"/>
    <col min="15880" max="15881" width="8.90625" style="2839"/>
    <col min="15882" max="15882" width="5.7265625" style="2839" customWidth="1"/>
    <col min="15883" max="15883" width="11.7265625" style="2839" customWidth="1"/>
    <col min="15884" max="15885" width="10.7265625" style="2839" customWidth="1"/>
    <col min="15886" max="15886" width="10" style="2839" customWidth="1"/>
    <col min="15887" max="15888" width="10.453125" style="2839" bestFit="1" customWidth="1"/>
    <col min="15889" max="15889" width="10" style="2839" customWidth="1"/>
    <col min="15890" max="15890" width="10.08984375" style="2839" customWidth="1"/>
    <col min="15891" max="15891" width="10" style="2839" customWidth="1"/>
    <col min="15892" max="15892" width="26.08984375" style="2839" customWidth="1"/>
    <col min="15893" max="16128" width="8.90625" style="2839"/>
    <col min="16129" max="16129" width="9.453125" style="2839" customWidth="1"/>
    <col min="16130" max="16130" width="8.90625" style="2839"/>
    <col min="16131" max="16133" width="12.90625" style="2839" customWidth="1"/>
    <col min="16134" max="16134" width="47.453125" style="2839" customWidth="1"/>
    <col min="16135" max="16135" width="13" style="2839" customWidth="1"/>
    <col min="16136" max="16137" width="8.90625" style="2839"/>
    <col min="16138" max="16138" width="5.7265625" style="2839" customWidth="1"/>
    <col min="16139" max="16139" width="11.7265625" style="2839" customWidth="1"/>
    <col min="16140" max="16141" width="10.7265625" style="2839" customWidth="1"/>
    <col min="16142" max="16142" width="10" style="2839" customWidth="1"/>
    <col min="16143" max="16144" width="10.453125" style="2839" bestFit="1" customWidth="1"/>
    <col min="16145" max="16145" width="10" style="2839" customWidth="1"/>
    <col min="16146" max="16146" width="10.08984375" style="2839" customWidth="1"/>
    <col min="16147" max="16147" width="10" style="2839" customWidth="1"/>
    <col min="16148" max="16148" width="26.08984375" style="2839" customWidth="1"/>
    <col min="16149" max="16384" width="8.9062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50" t="s">
        <v>2316</v>
      </c>
      <c r="K2" s="3751"/>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2" t="s">
        <v>2326</v>
      </c>
      <c r="K3" s="3753"/>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2" t="s">
        <v>2328</v>
      </c>
      <c r="K4" s="3753"/>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8" t="s">
        <v>2332</v>
      </c>
      <c r="B6" s="3759"/>
      <c r="C6" s="3760"/>
      <c r="D6" s="2867"/>
      <c r="E6" s="2868"/>
      <c r="F6" s="2869"/>
      <c r="G6" s="2870"/>
      <c r="H6" s="2845"/>
      <c r="I6" s="2846"/>
      <c r="J6" s="3744">
        <v>1</v>
      </c>
      <c r="K6" s="3745"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44"/>
      <c r="K7" s="3746"/>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1" t="s">
        <v>2346</v>
      </c>
      <c r="C8" s="3762"/>
      <c r="D8" s="2886" t="s">
        <v>2347</v>
      </c>
      <c r="E8" s="2887" t="s">
        <v>2348</v>
      </c>
      <c r="F8" s="2888" t="s">
        <v>2349</v>
      </c>
      <c r="G8" s="2889"/>
      <c r="H8" s="2845"/>
      <c r="I8" s="2846"/>
      <c r="J8" s="3744"/>
      <c r="K8" s="3746"/>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1" t="s">
        <v>2352</v>
      </c>
      <c r="C9" s="3762"/>
      <c r="D9" s="2886">
        <f>ROUND(D6*E9,0)</f>
        <v>0</v>
      </c>
      <c r="E9" s="2890"/>
      <c r="F9" s="2891" t="s">
        <v>2353</v>
      </c>
      <c r="G9" s="2870"/>
      <c r="H9" s="2845"/>
      <c r="I9" s="2846"/>
      <c r="J9" s="3744"/>
      <c r="K9" s="3746"/>
      <c r="L9" s="2880" t="s">
        <v>2354</v>
      </c>
      <c r="M9" s="2881"/>
      <c r="N9" s="2857"/>
      <c r="O9" s="2882"/>
      <c r="P9" s="2882"/>
      <c r="Q9" s="2883">
        <v>365</v>
      </c>
      <c r="R9" s="2884">
        <f t="shared" si="0"/>
        <v>0</v>
      </c>
      <c r="S9" s="2838"/>
      <c r="T9" s="2838"/>
      <c r="U9" s="2838"/>
      <c r="V9" s="2846"/>
    </row>
    <row r="10" spans="1:22" s="2850" customFormat="1" ht="13.15" customHeight="1">
      <c r="A10" s="2885">
        <v>2</v>
      </c>
      <c r="B10" s="3761" t="s">
        <v>2355</v>
      </c>
      <c r="C10" s="3762"/>
      <c r="D10" s="2886">
        <f>ROUND(D6*E10,0)</f>
        <v>0</v>
      </c>
      <c r="E10" s="2890"/>
      <c r="F10" s="2891" t="s">
        <v>2356</v>
      </c>
      <c r="G10" s="2870"/>
      <c r="H10" s="2845"/>
      <c r="I10" s="2846"/>
      <c r="J10" s="3744"/>
      <c r="K10" s="3746"/>
      <c r="L10" s="2880" t="s">
        <v>2357</v>
      </c>
      <c r="M10" s="2881"/>
      <c r="N10" s="2857"/>
      <c r="O10" s="2882"/>
      <c r="P10" s="2882"/>
      <c r="Q10" s="2883">
        <v>365</v>
      </c>
      <c r="R10" s="2884">
        <f t="shared" si="0"/>
        <v>0</v>
      </c>
      <c r="S10" s="2838"/>
      <c r="T10" s="2838"/>
      <c r="U10" s="2838"/>
      <c r="V10" s="2846"/>
    </row>
    <row r="11" spans="1:22" s="2850" customFormat="1" ht="13.15" customHeight="1">
      <c r="A11" s="2885">
        <v>3</v>
      </c>
      <c r="B11" s="3761" t="s">
        <v>2358</v>
      </c>
      <c r="C11" s="3762"/>
      <c r="D11" s="2886">
        <f>D12+D14+D15+D16</f>
        <v>0</v>
      </c>
      <c r="E11" s="2892" t="e">
        <f>D11/D6</f>
        <v>#DIV/0!</v>
      </c>
      <c r="F11" s="2888"/>
      <c r="G11" s="2889"/>
      <c r="H11" s="2845"/>
      <c r="I11" s="2846"/>
      <c r="J11" s="3744"/>
      <c r="K11" s="3746"/>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4" t="s">
        <v>2361</v>
      </c>
      <c r="C12" s="3755"/>
      <c r="D12" s="2894">
        <f>ROUND(D13*1.2%*(1-30%),0)</f>
        <v>0</v>
      </c>
      <c r="E12" s="2895">
        <v>1.2E-2</v>
      </c>
      <c r="F12" s="2888" t="s">
        <v>2362</v>
      </c>
      <c r="G12" s="2889"/>
      <c r="H12" s="2845"/>
      <c r="I12" s="2846"/>
      <c r="J12" s="3744"/>
      <c r="K12" s="3746"/>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44"/>
      <c r="K13" s="3746"/>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4" t="s">
        <v>2367</v>
      </c>
      <c r="C14" s="3755"/>
      <c r="D14" s="2894">
        <f>ROUND(E14*B5/10000,0)</f>
        <v>0</v>
      </c>
      <c r="E14" s="2883"/>
      <c r="F14" s="2888" t="s">
        <v>2368</v>
      </c>
      <c r="G14" s="2889"/>
      <c r="H14" s="2845"/>
      <c r="I14" s="2846"/>
      <c r="J14" s="3744"/>
      <c r="K14" s="3747"/>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4" t="s">
        <v>2371</v>
      </c>
      <c r="C15" s="3755"/>
      <c r="D15" s="2894">
        <f>ROUND(D6*E15,0)</f>
        <v>0</v>
      </c>
      <c r="E15" s="2895">
        <v>5.5E-2</v>
      </c>
      <c r="F15" s="2888" t="s">
        <v>2372</v>
      </c>
      <c r="G15" s="2870"/>
      <c r="H15" s="2845"/>
      <c r="I15" s="2846"/>
      <c r="J15" s="3744">
        <v>2</v>
      </c>
      <c r="K15" s="3745"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4" t="s">
        <v>2380</v>
      </c>
      <c r="C16" s="3755"/>
      <c r="D16" s="2905">
        <f>D6*E16</f>
        <v>0</v>
      </c>
      <c r="E16" s="2906"/>
      <c r="F16" s="2891" t="s">
        <v>2381</v>
      </c>
      <c r="G16" s="2870"/>
      <c r="H16" s="2845"/>
      <c r="I16" s="2846"/>
      <c r="J16" s="3744"/>
      <c r="K16" s="3746"/>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6" t="s">
        <v>2383</v>
      </c>
      <c r="C17" s="3757"/>
      <c r="D17" s="2908">
        <f>ROUND(D6*E17,0)</f>
        <v>0</v>
      </c>
      <c r="E17" s="2909"/>
      <c r="F17" s="2910" t="s">
        <v>2384</v>
      </c>
      <c r="G17" s="2870"/>
      <c r="H17" s="2845"/>
      <c r="I17" s="2846"/>
      <c r="J17" s="3744"/>
      <c r="K17" s="3746"/>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44"/>
      <c r="K18" s="3746"/>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44"/>
      <c r="K19" s="3747"/>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4">
        <v>3</v>
      </c>
      <c r="K20" s="3745"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44"/>
      <c r="K21" s="3746"/>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44"/>
      <c r="K22" s="3746"/>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44"/>
      <c r="K23" s="3746"/>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44"/>
      <c r="K24" s="3747"/>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48">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4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0" t="s">
        <v>2316</v>
      </c>
      <c r="K32" s="3751"/>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2" t="s">
        <v>2326</v>
      </c>
      <c r="K33" s="3753"/>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2" t="s">
        <v>2328</v>
      </c>
      <c r="K34" s="375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44">
        <v>1</v>
      </c>
      <c r="K36" s="3745"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4"/>
      <c r="K37" s="3746"/>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4"/>
      <c r="K38" s="3746"/>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44"/>
      <c r="K39" s="3746"/>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44"/>
      <c r="K40" s="3747"/>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8">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4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1476" customWidth="1"/>
    <col min="2" max="2" width="12" style="1476" customWidth="1"/>
    <col min="3" max="3" width="9" style="1476"/>
    <col min="4" max="4" width="14.08984375" style="1476" customWidth="1"/>
    <col min="5" max="5" width="9" style="1476"/>
    <col min="6" max="6" width="12.9062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5">
      <c r="A2" s="1869" t="s">
        <v>1462</v>
      </c>
      <c r="B2" s="1870">
        <f ca="1">SUMIF(B6:B13,"&lt;&gt;#ref!",B6:B13)</f>
        <v>230.98259999999999</v>
      </c>
      <c r="C2" s="1871" t="s">
        <v>1651</v>
      </c>
      <c r="D2" s="1872" t="s">
        <v>1652</v>
      </c>
      <c r="E2" s="2605">
        <f>SUM(E6:E13)</f>
        <v>148.12</v>
      </c>
      <c r="F2" s="2704"/>
      <c r="G2" s="1488"/>
      <c r="H2" s="1488"/>
      <c r="I2" s="1488"/>
      <c r="J2" s="1488"/>
      <c r="K2" s="1488"/>
      <c r="L2" s="1488"/>
      <c r="M2" s="1488"/>
      <c r="N2" s="1488"/>
      <c r="O2" s="1488"/>
      <c r="P2" s="1488"/>
      <c r="Q2" s="1488"/>
      <c r="R2" s="1488"/>
      <c r="S2" s="1488"/>
    </row>
    <row r="3" spans="1:22" ht="15.5">
      <c r="A3" s="1869" t="s">
        <v>686</v>
      </c>
      <c r="B3" s="2599">
        <f ca="1">ROUND(B2*10000/E2,0)</f>
        <v>15594</v>
      </c>
      <c r="C3" s="1871" t="s">
        <v>1659</v>
      </c>
      <c r="D3" s="2706"/>
      <c r="E3" s="2708"/>
      <c r="F3" s="2704"/>
      <c r="G3" s="1488"/>
      <c r="H3" s="1488"/>
      <c r="I3" s="1488"/>
      <c r="J3" s="1488"/>
      <c r="K3" s="1488"/>
      <c r="L3" s="1488"/>
      <c r="M3" s="1488"/>
      <c r="N3" s="1488"/>
      <c r="O3" s="1488"/>
      <c r="P3" s="1488"/>
      <c r="Q3" s="1488"/>
      <c r="R3" s="1488"/>
      <c r="S3" s="1488"/>
    </row>
    <row r="4" spans="1:22" ht="15.5">
      <c r="A4" s="2709"/>
      <c r="B4" s="2706"/>
      <c r="C4" s="2706"/>
      <c r="D4" s="2706"/>
      <c r="E4" s="2708"/>
      <c r="F4" s="2704"/>
      <c r="G4" s="1488"/>
      <c r="H4" s="1488"/>
      <c r="I4" s="1488"/>
      <c r="J4" s="1488"/>
      <c r="K4" s="1488"/>
      <c r="L4" s="1488"/>
      <c r="M4" s="1488"/>
      <c r="N4" s="1488"/>
      <c r="O4" s="1488"/>
      <c r="P4" s="1488"/>
      <c r="Q4" s="1488"/>
      <c r="R4" s="1488"/>
      <c r="S4" s="1488"/>
    </row>
    <row r="5" spans="1:22">
      <c r="A5" s="2601" t="s">
        <v>1653</v>
      </c>
      <c r="B5" s="3763" t="s">
        <v>1654</v>
      </c>
      <c r="C5" s="3764"/>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230.98259999999999</v>
      </c>
      <c r="C6" s="1871" t="s">
        <v>1651</v>
      </c>
      <c r="D6" s="2706"/>
      <c r="E6" s="2604">
        <f>IF(OR(A6=0,F6="否"),0,'数据-取费表'!K6+'数据-取费表'!S6)</f>
        <v>148.12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4.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57" customWidth="1"/>
    <col min="2" max="3" width="15.7265625" style="357" customWidth="1"/>
    <col min="4" max="4" width="12.26953125" style="357" customWidth="1"/>
    <col min="5" max="5" width="17.08984375" style="357" customWidth="1"/>
    <col min="6" max="6" width="12.26953125" style="357" customWidth="1"/>
    <col min="7" max="7" width="16.453125" style="357" customWidth="1"/>
    <col min="8" max="8" width="12.26953125" style="357" customWidth="1"/>
    <col min="9" max="9" width="15.6328125" style="357" customWidth="1"/>
    <col min="10" max="10" width="12.26953125" style="357" customWidth="1"/>
    <col min="11" max="11" width="12.26953125" style="444" customWidth="1"/>
    <col min="12" max="12" width="12.26953125" style="445" customWidth="1"/>
    <col min="13" max="15" width="12.26953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148.12</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c r="A4" s="355" t="s">
        <v>1666</v>
      </c>
      <c r="B4" s="356"/>
      <c r="C4" s="3711" t="s">
        <v>1667</v>
      </c>
      <c r="D4" s="3712"/>
      <c r="E4" s="3713" t="s">
        <v>1668</v>
      </c>
      <c r="F4" s="3714"/>
      <c r="G4" s="3711" t="s">
        <v>1669</v>
      </c>
      <c r="H4" s="3712"/>
      <c r="I4" s="3711" t="s">
        <v>1670</v>
      </c>
      <c r="J4" s="3712"/>
      <c r="K4" s="1888" t="s">
        <v>1671</v>
      </c>
      <c r="L4" s="2712"/>
      <c r="M4" s="2713"/>
      <c r="N4" s="2713"/>
      <c r="O4" s="2713"/>
      <c r="P4" s="3769" t="s">
        <v>1672</v>
      </c>
      <c r="Q4" s="3770"/>
      <c r="R4" s="3773" t="s">
        <v>1668</v>
      </c>
      <c r="S4" s="3774"/>
      <c r="T4" s="3773" t="s">
        <v>1669</v>
      </c>
      <c r="U4" s="3774"/>
      <c r="V4" s="3728" t="s">
        <v>1670</v>
      </c>
      <c r="W4" s="3728"/>
      <c r="X4" s="1354"/>
      <c r="Y4" s="3773" t="s">
        <v>1672</v>
      </c>
      <c r="Z4" s="3774"/>
      <c r="AA4" s="3768" t="s">
        <v>1668</v>
      </c>
      <c r="AB4" s="3768" t="s">
        <v>1669</v>
      </c>
      <c r="AC4" s="3768" t="s">
        <v>1670</v>
      </c>
    </row>
    <row r="5" spans="1:29">
      <c r="A5" s="358"/>
      <c r="B5" s="359"/>
      <c r="C5" s="3775" t="s">
        <v>1673</v>
      </c>
      <c r="D5" s="3732"/>
      <c r="E5" s="3776" t="s">
        <v>1674</v>
      </c>
      <c r="F5" s="3743"/>
      <c r="G5" s="3775" t="s">
        <v>1675</v>
      </c>
      <c r="H5" s="3732"/>
      <c r="I5" s="3775" t="s">
        <v>1676</v>
      </c>
      <c r="J5" s="3732"/>
      <c r="K5" s="1889"/>
      <c r="L5" s="2712"/>
      <c r="M5" s="2713"/>
      <c r="N5" s="2713"/>
      <c r="O5" s="2713"/>
      <c r="P5" s="3771"/>
      <c r="Q5" s="3718"/>
      <c r="R5" s="3723"/>
      <c r="S5" s="3724"/>
      <c r="T5" s="3723"/>
      <c r="U5" s="3724"/>
      <c r="V5" s="3728"/>
      <c r="W5" s="3728"/>
      <c r="X5" s="1354"/>
      <c r="Y5" s="3723"/>
      <c r="Z5" s="3724"/>
      <c r="AA5" s="3740"/>
      <c r="AB5" s="3740"/>
      <c r="AC5" s="3740"/>
    </row>
    <row r="6" spans="1:29" ht="15" thickBot="1">
      <c r="A6" s="360"/>
      <c r="B6" s="361"/>
      <c r="C6" s="3729" t="s">
        <v>1677</v>
      </c>
      <c r="D6" s="3730"/>
      <c r="E6" s="3737" t="s">
        <v>1677</v>
      </c>
      <c r="F6" s="3738"/>
      <c r="G6" s="3729" t="s">
        <v>1677</v>
      </c>
      <c r="H6" s="3730"/>
      <c r="I6" s="3729" t="s">
        <v>1677</v>
      </c>
      <c r="J6" s="3730"/>
      <c r="K6" s="1889" t="s">
        <v>1678</v>
      </c>
      <c r="L6" s="2712"/>
      <c r="M6" s="2713"/>
      <c r="N6" s="2713"/>
      <c r="O6" s="2713"/>
      <c r="P6" s="3772"/>
      <c r="Q6" s="3720"/>
      <c r="R6" s="3723"/>
      <c r="S6" s="3724"/>
      <c r="T6" s="3725"/>
      <c r="U6" s="3726"/>
      <c r="V6" s="3728"/>
      <c r="W6" s="3728"/>
      <c r="X6" s="1354"/>
      <c r="Y6" s="3725"/>
      <c r="Z6" s="3726"/>
      <c r="AA6" s="3741"/>
      <c r="AB6" s="3741"/>
      <c r="AC6" s="3741"/>
    </row>
    <row r="7" spans="1:29" s="108" customFormat="1" ht="14.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35" t="s">
        <v>1680</v>
      </c>
      <c r="Q7" s="3736"/>
      <c r="R7" s="700" t="s">
        <v>20</v>
      </c>
      <c r="S7" s="701">
        <f t="shared" ref="S7:S15" si="0">F7</f>
        <v>0</v>
      </c>
      <c r="T7" s="700" t="s">
        <v>20</v>
      </c>
      <c r="U7" s="701">
        <f t="shared" ref="U7:U15" si="1">H7</f>
        <v>0</v>
      </c>
      <c r="V7" s="700" t="s">
        <v>20</v>
      </c>
      <c r="W7" s="701">
        <f t="shared" ref="W7:W15" si="2">J7</f>
        <v>0</v>
      </c>
      <c r="X7" s="702"/>
      <c r="Y7" s="3735" t="s">
        <v>1680</v>
      </c>
      <c r="Z7" s="3734"/>
      <c r="AA7" s="703" t="e">
        <f>D7/F7</f>
        <v>#DIV/0!</v>
      </c>
      <c r="AB7" s="703" t="e">
        <f>D7/H7</f>
        <v>#DIV/0!</v>
      </c>
      <c r="AC7" s="703" t="e">
        <f>D7/J7</f>
        <v>#DIV/0!</v>
      </c>
    </row>
    <row r="8" spans="1:29" s="108" customFormat="1" ht="14.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35" t="s">
        <v>1683</v>
      </c>
      <c r="Q8" s="3734"/>
      <c r="R8" s="700" t="s">
        <v>20</v>
      </c>
      <c r="S8" s="701">
        <f t="shared" si="0"/>
        <v>100</v>
      </c>
      <c r="T8" s="700" t="s">
        <v>20</v>
      </c>
      <c r="U8" s="701">
        <f t="shared" si="1"/>
        <v>100</v>
      </c>
      <c r="V8" s="700" t="s">
        <v>20</v>
      </c>
      <c r="W8" s="701">
        <f t="shared" si="2"/>
        <v>100</v>
      </c>
      <c r="X8" s="702"/>
      <c r="Y8" s="3735" t="s">
        <v>1683</v>
      </c>
      <c r="Z8" s="373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3"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3"/>
      <c r="Q11" s="1342" t="str">
        <f t="shared" si="6"/>
        <v>容积率</v>
      </c>
      <c r="R11" s="700" t="s">
        <v>18</v>
      </c>
      <c r="S11" s="701" t="e">
        <f t="shared" si="0"/>
        <v>#N/A</v>
      </c>
      <c r="T11" s="700" t="s">
        <v>18</v>
      </c>
      <c r="U11" s="701" t="e">
        <f t="shared" si="1"/>
        <v>#N/A</v>
      </c>
      <c r="V11" s="700" t="s">
        <v>18</v>
      </c>
      <c r="W11" s="701" t="e">
        <f t="shared" si="2"/>
        <v>#N/A</v>
      </c>
      <c r="X11" s="702"/>
      <c r="Y11" s="3573"/>
      <c r="Z11" s="52" t="str">
        <f t="shared" si="7"/>
        <v>容积率</v>
      </c>
      <c r="AA11" s="703" t="e">
        <f t="shared" si="3"/>
        <v>#N/A</v>
      </c>
      <c r="AB11" s="703" t="e">
        <f t="shared" si="4"/>
        <v>#N/A</v>
      </c>
      <c r="AC11" s="703" t="e">
        <f t="shared" si="5"/>
        <v>#N/A</v>
      </c>
    </row>
    <row r="12" spans="1:29" s="108" customFormat="1" ht="15.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3"/>
      <c r="Q12" s="1342">
        <f t="shared" si="6"/>
        <v>111</v>
      </c>
      <c r="R12" s="700" t="s">
        <v>18</v>
      </c>
      <c r="S12" s="701">
        <f t="shared" si="0"/>
        <v>100</v>
      </c>
      <c r="T12" s="700" t="s">
        <v>18</v>
      </c>
      <c r="U12" s="701">
        <f t="shared" si="1"/>
        <v>100</v>
      </c>
      <c r="V12" s="700" t="s">
        <v>18</v>
      </c>
      <c r="W12" s="701">
        <f t="shared" si="2"/>
        <v>100</v>
      </c>
      <c r="X12" s="702"/>
      <c r="Y12" s="3573"/>
      <c r="Z12" s="52">
        <f t="shared" si="7"/>
        <v>111</v>
      </c>
      <c r="AA12" s="703">
        <f>D12/F12</f>
        <v>1</v>
      </c>
      <c r="AB12" s="703">
        <f>D12/H12</f>
        <v>1</v>
      </c>
      <c r="AC12" s="703">
        <f>D12/J12</f>
        <v>1</v>
      </c>
    </row>
    <row r="13" spans="1:29" ht="15.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3"/>
      <c r="Q13" s="1342">
        <f t="shared" si="6"/>
        <v>111</v>
      </c>
      <c r="R13" s="700" t="s">
        <v>18</v>
      </c>
      <c r="S13" s="701">
        <f t="shared" si="0"/>
        <v>100</v>
      </c>
      <c r="T13" s="700" t="s">
        <v>18</v>
      </c>
      <c r="U13" s="701">
        <f t="shared" si="1"/>
        <v>100</v>
      </c>
      <c r="V13" s="700" t="s">
        <v>18</v>
      </c>
      <c r="W13" s="701">
        <f t="shared" si="2"/>
        <v>100</v>
      </c>
      <c r="X13" s="702"/>
      <c r="Y13" s="3573"/>
      <c r="Z13" s="52">
        <f t="shared" si="7"/>
        <v>111</v>
      </c>
      <c r="AA13" s="703">
        <f t="shared" si="3"/>
        <v>1</v>
      </c>
      <c r="AB13" s="703">
        <f t="shared" si="4"/>
        <v>1</v>
      </c>
      <c r="AC13" s="703">
        <f t="shared" si="5"/>
        <v>1</v>
      </c>
    </row>
    <row r="14" spans="1:29" ht="1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3"/>
      <c r="Q14" s="1342">
        <f t="shared" si="6"/>
        <v>111</v>
      </c>
      <c r="R14" s="700" t="s">
        <v>18</v>
      </c>
      <c r="S14" s="701">
        <f t="shared" si="0"/>
        <v>100</v>
      </c>
      <c r="T14" s="700" t="s">
        <v>18</v>
      </c>
      <c r="U14" s="701">
        <f t="shared" si="1"/>
        <v>100</v>
      </c>
      <c r="V14" s="700" t="s">
        <v>18</v>
      </c>
      <c r="W14" s="701">
        <f t="shared" si="2"/>
        <v>100</v>
      </c>
      <c r="X14" s="702"/>
      <c r="Y14" s="3573"/>
      <c r="Z14" s="52">
        <f t="shared" si="7"/>
        <v>111</v>
      </c>
      <c r="AA14" s="703">
        <f t="shared" si="3"/>
        <v>1</v>
      </c>
      <c r="AB14" s="703">
        <f t="shared" si="4"/>
        <v>1</v>
      </c>
      <c r="AC14" s="703">
        <f t="shared" si="5"/>
        <v>1</v>
      </c>
    </row>
    <row r="15" spans="1:29" ht="98">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9" t="s">
        <v>1691</v>
      </c>
      <c r="Q15" s="1351" t="str">
        <f t="shared" si="6"/>
        <v>居住社区成熟度</v>
      </c>
      <c r="R15" s="704" t="s">
        <v>18</v>
      </c>
      <c r="S15" s="705">
        <f t="shared" si="0"/>
        <v>100</v>
      </c>
      <c r="T15" s="704" t="s">
        <v>18</v>
      </c>
      <c r="U15" s="705">
        <f t="shared" si="1"/>
        <v>100</v>
      </c>
      <c r="V15" s="704" t="s">
        <v>18</v>
      </c>
      <c r="W15" s="705">
        <f t="shared" si="2"/>
        <v>100</v>
      </c>
      <c r="X15" s="1354"/>
      <c r="Y15" s="3701" t="s">
        <v>1691</v>
      </c>
      <c r="Z15" s="1355" t="str">
        <f t="shared" si="7"/>
        <v>居住社区成熟度</v>
      </c>
      <c r="AA15" s="1352">
        <f t="shared" si="3"/>
        <v>1</v>
      </c>
      <c r="AB15" s="1352">
        <f t="shared" si="4"/>
        <v>1</v>
      </c>
      <c r="AC15" s="1352">
        <f t="shared" si="5"/>
        <v>1</v>
      </c>
    </row>
    <row r="16" spans="1:29" ht="15.5">
      <c r="A16" s="379"/>
      <c r="B16" s="397"/>
      <c r="C16" s="398"/>
      <c r="D16" s="399"/>
      <c r="E16" s="1896"/>
      <c r="F16" s="399"/>
      <c r="G16" s="1897"/>
      <c r="H16" s="401"/>
      <c r="I16" s="1897"/>
      <c r="J16" s="399"/>
      <c r="K16" s="1898"/>
      <c r="L16" s="2719"/>
      <c r="M16" s="2713"/>
      <c r="N16" s="2713"/>
      <c r="O16" s="2713"/>
      <c r="P16" s="3700"/>
      <c r="Q16" s="1351"/>
      <c r="R16" s="704"/>
      <c r="S16" s="705"/>
      <c r="T16" s="704"/>
      <c r="U16" s="705"/>
      <c r="V16" s="704"/>
      <c r="W16" s="705"/>
      <c r="X16" s="1354"/>
      <c r="Y16" s="3702"/>
      <c r="Z16" s="1355"/>
      <c r="AA16" s="1352">
        <v>1</v>
      </c>
      <c r="AB16" s="1352">
        <v>1</v>
      </c>
      <c r="AC16" s="1352">
        <v>1</v>
      </c>
    </row>
    <row r="17" spans="1:29" ht="84">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0"/>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5">
      <c r="A18" s="379"/>
      <c r="B18" s="407"/>
      <c r="C18" s="1900"/>
      <c r="D18" s="401"/>
      <c r="E18" s="1901"/>
      <c r="F18" s="401"/>
      <c r="G18" s="1902"/>
      <c r="H18" s="399"/>
      <c r="I18" s="1902"/>
      <c r="J18" s="399"/>
      <c r="K18" s="1898"/>
      <c r="L18" s="2719"/>
      <c r="M18" s="2713"/>
      <c r="N18" s="2713"/>
      <c r="O18" s="2713"/>
      <c r="P18" s="3700"/>
      <c r="Q18" s="1351"/>
      <c r="R18" s="704"/>
      <c r="S18" s="705"/>
      <c r="T18" s="704"/>
      <c r="U18" s="705"/>
      <c r="V18" s="704"/>
      <c r="W18" s="705"/>
      <c r="X18" s="1354"/>
      <c r="Y18" s="3702"/>
      <c r="Z18" s="1355"/>
      <c r="AA18" s="1352">
        <v>1</v>
      </c>
      <c r="AB18" s="1352">
        <v>1</v>
      </c>
      <c r="AC18" s="1352">
        <v>1</v>
      </c>
    </row>
    <row r="19" spans="1:29" ht="42">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0"/>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5">
      <c r="A20" s="379"/>
      <c r="B20" s="407"/>
      <c r="C20" s="398"/>
      <c r="D20" s="399"/>
      <c r="E20" s="1896"/>
      <c r="F20" s="399"/>
      <c r="G20" s="1897"/>
      <c r="H20" s="399"/>
      <c r="I20" s="1897"/>
      <c r="J20" s="399"/>
      <c r="K20" s="1898"/>
      <c r="L20" s="2719"/>
      <c r="M20" s="2713"/>
      <c r="N20" s="2713"/>
      <c r="O20" s="2713"/>
      <c r="P20" s="3700"/>
      <c r="Q20" s="1351"/>
      <c r="R20" s="704"/>
      <c r="S20" s="705"/>
      <c r="T20" s="704"/>
      <c r="U20" s="705"/>
      <c r="V20" s="704"/>
      <c r="W20" s="705"/>
      <c r="X20" s="1354"/>
      <c r="Y20" s="3702"/>
      <c r="Z20" s="1355"/>
      <c r="AA20" s="1352">
        <v>1</v>
      </c>
      <c r="AB20" s="1352">
        <v>1</v>
      </c>
      <c r="AC20" s="1352">
        <v>1</v>
      </c>
    </row>
    <row r="21" spans="1:29" ht="28">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5">
      <c r="A22" s="379"/>
      <c r="B22" s="1130"/>
      <c r="C22" s="1900"/>
      <c r="D22" s="399"/>
      <c r="E22" s="398"/>
      <c r="F22" s="399"/>
      <c r="G22" s="1903"/>
      <c r="H22" s="399"/>
      <c r="I22" s="398"/>
      <c r="J22" s="399"/>
      <c r="K22" s="1904"/>
      <c r="L22" s="2719"/>
      <c r="M22" s="2713"/>
      <c r="N22" s="2713"/>
      <c r="O22" s="2713"/>
      <c r="P22" s="3700"/>
      <c r="Q22" s="1351"/>
      <c r="R22" s="704"/>
      <c r="S22" s="705"/>
      <c r="T22" s="704"/>
      <c r="U22" s="705"/>
      <c r="V22" s="704"/>
      <c r="W22" s="705"/>
      <c r="X22" s="1354"/>
      <c r="Y22" s="3702"/>
      <c r="Z22" s="1355"/>
      <c r="AA22" s="1352">
        <v>1</v>
      </c>
      <c r="AB22" s="1352">
        <v>1</v>
      </c>
      <c r="AC22" s="1352">
        <v>1</v>
      </c>
    </row>
    <row r="23" spans="1:29" ht="56">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0"/>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5">
      <c r="A24" s="379"/>
      <c r="B24" s="407"/>
      <c r="C24" s="398"/>
      <c r="D24" s="399"/>
      <c r="E24" s="1896"/>
      <c r="F24" s="399"/>
      <c r="G24" s="1897"/>
      <c r="H24" s="399"/>
      <c r="I24" s="1897"/>
      <c r="J24" s="399"/>
      <c r="K24" s="1898"/>
      <c r="L24" s="2719"/>
      <c r="M24" s="2713"/>
      <c r="N24" s="2713"/>
      <c r="O24" s="2713"/>
      <c r="P24" s="3700"/>
      <c r="Q24" s="1351"/>
      <c r="R24" s="704"/>
      <c r="S24" s="705"/>
      <c r="T24" s="704"/>
      <c r="U24" s="705"/>
      <c r="V24" s="704"/>
      <c r="W24" s="705"/>
      <c r="X24" s="1354"/>
      <c r="Y24" s="3702"/>
      <c r="Z24" s="1355"/>
      <c r="AA24" s="1352">
        <v>1</v>
      </c>
      <c r="AB24" s="1352">
        <v>1</v>
      </c>
      <c r="AC24" s="1352">
        <v>1</v>
      </c>
    </row>
    <row r="25" spans="1:29" ht="15.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0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00"/>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00"/>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00"/>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00"/>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00"/>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00"/>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03" t="s">
        <v>1696</v>
      </c>
      <c r="Q32" s="1351" t="str">
        <f t="shared" si="11"/>
        <v>建筑类型</v>
      </c>
      <c r="R32" s="704" t="s">
        <v>18</v>
      </c>
      <c r="S32" s="705">
        <f t="shared" si="12"/>
        <v>100</v>
      </c>
      <c r="T32" s="704" t="s">
        <v>18</v>
      </c>
      <c r="U32" s="705">
        <f t="shared" si="13"/>
        <v>100</v>
      </c>
      <c r="V32" s="704" t="s">
        <v>18</v>
      </c>
      <c r="W32" s="705">
        <f t="shared" si="14"/>
        <v>100</v>
      </c>
      <c r="X32" s="1354"/>
      <c r="Y32" s="3706" t="s">
        <v>1696</v>
      </c>
      <c r="Z32" s="1355" t="str">
        <f t="shared" si="18"/>
        <v>建筑类型</v>
      </c>
      <c r="AA32" s="1352">
        <f t="shared" si="15"/>
        <v>1</v>
      </c>
      <c r="AB32" s="1352">
        <f t="shared" si="16"/>
        <v>1</v>
      </c>
      <c r="AC32" s="1352">
        <f t="shared" si="17"/>
        <v>1</v>
      </c>
    </row>
    <row r="33" spans="1:29" s="422" customFormat="1" ht="15.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04" t="s">
        <v>1696</v>
      </c>
      <c r="Q38" s="1351" t="str">
        <f t="shared" si="11"/>
        <v>物业管理</v>
      </c>
      <c r="R38" s="704" t="s">
        <v>18</v>
      </c>
      <c r="S38" s="705">
        <f t="shared" si="12"/>
        <v>100</v>
      </c>
      <c r="T38" s="704" t="s">
        <v>18</v>
      </c>
      <c r="U38" s="705">
        <f t="shared" si="13"/>
        <v>100</v>
      </c>
      <c r="V38" s="704" t="s">
        <v>18</v>
      </c>
      <c r="W38" s="705">
        <f t="shared" si="14"/>
        <v>100</v>
      </c>
      <c r="X38" s="1354"/>
      <c r="Y38" s="3706" t="s">
        <v>1696</v>
      </c>
      <c r="Z38" s="1355" t="str">
        <f t="shared" si="18"/>
        <v>物业管理</v>
      </c>
      <c r="AA38" s="1352">
        <f t="shared" si="15"/>
        <v>1</v>
      </c>
      <c r="AB38" s="1352">
        <f t="shared" si="16"/>
        <v>1</v>
      </c>
      <c r="AC38" s="1352">
        <f t="shared" si="17"/>
        <v>1</v>
      </c>
    </row>
    <row r="39" spans="1:29" ht="15.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2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c r="A47" s="430" t="s">
        <v>1708</v>
      </c>
      <c r="B47" s="431"/>
      <c r="C47" s="1153" t="s">
        <v>16</v>
      </c>
      <c r="D47" s="1154"/>
      <c r="E47" s="1155"/>
      <c r="F47" s="1156"/>
      <c r="G47" s="1157"/>
      <c r="H47" s="1158"/>
      <c r="I47" s="1155"/>
      <c r="J47" s="1158"/>
      <c r="K47" s="1913"/>
      <c r="L47" s="2721"/>
      <c r="M47" s="2722"/>
      <c r="N47" s="2713"/>
      <c r="O47" s="2722"/>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4.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4.5" thickBot="1">
      <c r="A49" s="441" t="s">
        <v>1710</v>
      </c>
      <c r="B49" s="442"/>
      <c r="C49" s="1161" t="e">
        <f>R49</f>
        <v>#DIV/0!</v>
      </c>
      <c r="D49" s="1162"/>
      <c r="E49" s="1162"/>
      <c r="F49" s="1162"/>
      <c r="G49" s="1162"/>
      <c r="H49" s="1162"/>
      <c r="I49" s="1162"/>
      <c r="J49" s="1162"/>
      <c r="K49" s="1914"/>
      <c r="L49" s="2721"/>
      <c r="M49" s="2722"/>
      <c r="N49" s="2722"/>
      <c r="O49" s="2722"/>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5" thickBot="1">
      <c r="A57" s="693" t="s">
        <v>1714</v>
      </c>
      <c r="B57" s="689"/>
      <c r="C57" s="694"/>
      <c r="D57" s="694"/>
      <c r="E57" s="694"/>
      <c r="F57" s="695"/>
      <c r="G57" s="695"/>
      <c r="H57" s="694"/>
      <c r="I57" s="694"/>
      <c r="J57" s="694"/>
      <c r="K57" s="940"/>
      <c r="L57" s="941"/>
      <c r="M57" s="939"/>
      <c r="N57" s="939"/>
      <c r="O57" s="939"/>
      <c r="P57" s="1917"/>
      <c r="Q57" s="453"/>
    </row>
    <row r="58" spans="1:29" s="457" customFormat="1">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4.5" thickBot="1">
      <c r="A60" s="464" t="s">
        <v>1716</v>
      </c>
      <c r="B60" s="465"/>
      <c r="C60" s="466"/>
      <c r="D60" s="467"/>
      <c r="E60" s="467"/>
      <c r="F60" s="467"/>
      <c r="G60" s="467"/>
      <c r="H60" s="467"/>
      <c r="I60" s="467"/>
      <c r="J60" s="467"/>
      <c r="K60" s="467"/>
      <c r="L60" s="467"/>
      <c r="M60" s="468"/>
      <c r="N60" s="467"/>
      <c r="O60" s="468"/>
      <c r="P60" s="1919"/>
      <c r="Q60" s="453"/>
    </row>
    <row r="61" spans="1:29" s="108" customFormat="1">
      <c r="A61" s="470" t="s">
        <v>1717</v>
      </c>
      <c r="B61" s="459"/>
      <c r="C61" s="471" t="s">
        <v>1718</v>
      </c>
      <c r="D61" s="472"/>
      <c r="E61" s="472"/>
      <c r="F61" s="472"/>
      <c r="G61" s="472"/>
      <c r="H61" s="472"/>
      <c r="I61" s="472"/>
      <c r="J61" s="472"/>
      <c r="K61" s="472"/>
      <c r="L61" s="473"/>
      <c r="M61" s="474"/>
      <c r="N61" s="931"/>
      <c r="O61" s="931"/>
      <c r="P61" s="1920"/>
      <c r="Q61" s="453"/>
    </row>
    <row r="62" spans="1:29" s="108" customFormat="1" ht="14.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4.5" thickBot="1">
      <c r="A64" s="483"/>
      <c r="B64" s="484"/>
      <c r="C64" s="485">
        <v>100</v>
      </c>
      <c r="D64" s="485"/>
      <c r="E64" s="485"/>
      <c r="F64" s="485"/>
      <c r="G64" s="485"/>
      <c r="H64" s="485"/>
      <c r="I64" s="485"/>
      <c r="J64" s="485"/>
      <c r="K64" s="485"/>
      <c r="L64" s="485"/>
      <c r="M64" s="486"/>
      <c r="N64" s="933"/>
      <c r="O64" s="933"/>
      <c r="P64" s="1921"/>
      <c r="Q64" s="453"/>
    </row>
    <row r="65" spans="1:17" ht="28.5" thickTop="1">
      <c r="A65" s="483"/>
      <c r="B65" s="487" t="s">
        <v>1688</v>
      </c>
      <c r="C65" s="532"/>
      <c r="D65" s="532"/>
      <c r="E65" s="532"/>
      <c r="F65" s="532"/>
      <c r="G65" s="532"/>
      <c r="H65" s="532"/>
      <c r="I65" s="532"/>
      <c r="J65" s="532"/>
      <c r="K65" s="532"/>
      <c r="L65" s="532"/>
      <c r="M65" s="532"/>
      <c r="N65" s="933"/>
      <c r="O65" s="933"/>
      <c r="P65" s="1921"/>
      <c r="Q65" s="453"/>
    </row>
    <row r="66" spans="1:17" ht="14.5" thickBot="1">
      <c r="A66" s="483"/>
      <c r="B66" s="492"/>
      <c r="C66" s="485"/>
      <c r="D66" s="485"/>
      <c r="E66" s="485"/>
      <c r="F66" s="485"/>
      <c r="G66" s="485"/>
      <c r="H66" s="485"/>
      <c r="I66" s="485"/>
      <c r="J66" s="485"/>
      <c r="K66" s="485"/>
      <c r="L66" s="485"/>
      <c r="M66" s="486"/>
      <c r="N66" s="933"/>
      <c r="O66" s="933"/>
      <c r="P66" s="1921"/>
      <c r="Q66" s="453"/>
    </row>
    <row r="67" spans="1:17" ht="14.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c r="A68" s="483"/>
      <c r="B68" s="497"/>
      <c r="C68" s="498"/>
      <c r="D68" s="498"/>
      <c r="E68" s="498"/>
      <c r="F68" s="498"/>
      <c r="G68" s="498"/>
      <c r="H68" s="498"/>
      <c r="I68" s="498"/>
      <c r="J68" s="498"/>
      <c r="K68" s="499"/>
      <c r="L68" s="500"/>
      <c r="M68" s="501"/>
      <c r="N68" s="932"/>
      <c r="O68" s="932"/>
      <c r="P68" s="1921"/>
      <c r="Q68" s="453"/>
    </row>
    <row r="69" spans="1:17" ht="14.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4.5" thickTop="1">
      <c r="A70" s="502"/>
      <c r="B70" s="487">
        <f>B12</f>
        <v>111</v>
      </c>
      <c r="C70" s="503"/>
      <c r="D70" s="503"/>
      <c r="E70" s="503"/>
      <c r="F70" s="503"/>
      <c r="G70" s="503"/>
      <c r="H70" s="504"/>
      <c r="I70" s="504"/>
      <c r="J70" s="504"/>
      <c r="K70" s="504"/>
      <c r="L70" s="505"/>
      <c r="M70" s="506"/>
      <c r="N70" s="934"/>
      <c r="O70" s="934"/>
      <c r="P70" s="1922"/>
      <c r="Q70" s="508"/>
    </row>
    <row r="71" spans="1:17" s="422" customFormat="1" ht="14.5" thickBot="1">
      <c r="A71" s="502"/>
      <c r="B71" s="492"/>
      <c r="C71" s="509"/>
      <c r="D71" s="485"/>
      <c r="E71" s="485"/>
      <c r="F71" s="485"/>
      <c r="G71" s="485"/>
      <c r="H71" s="485"/>
      <c r="I71" s="485"/>
      <c r="J71" s="485"/>
      <c r="K71" s="485"/>
      <c r="L71" s="485"/>
      <c r="M71" s="486"/>
      <c r="N71" s="933"/>
      <c r="O71" s="933"/>
      <c r="P71" s="1922"/>
      <c r="Q71" s="508"/>
    </row>
    <row r="72" spans="1:17" s="422" customFormat="1" ht="14.5" thickTop="1">
      <c r="A72" s="502"/>
      <c r="B72" s="487">
        <f>B13</f>
        <v>111</v>
      </c>
      <c r="C72" s="503"/>
      <c r="D72" s="503"/>
      <c r="E72" s="503"/>
      <c r="F72" s="503"/>
      <c r="G72" s="503"/>
      <c r="H72" s="504"/>
      <c r="I72" s="504"/>
      <c r="J72" s="504"/>
      <c r="K72" s="504"/>
      <c r="L72" s="505"/>
      <c r="M72" s="506"/>
      <c r="N72" s="934"/>
      <c r="O72" s="934"/>
      <c r="P72" s="1923"/>
      <c r="Q72" s="510"/>
    </row>
    <row r="73" spans="1:17" s="422" customFormat="1" ht="14.5" thickBot="1">
      <c r="A73" s="502"/>
      <c r="B73" s="492"/>
      <c r="C73" s="509"/>
      <c r="D73" s="509"/>
      <c r="E73" s="509"/>
      <c r="F73" s="509"/>
      <c r="G73" s="509"/>
      <c r="H73" s="511"/>
      <c r="I73" s="511"/>
      <c r="J73" s="511"/>
      <c r="K73" s="511"/>
      <c r="L73" s="511"/>
      <c r="M73" s="512"/>
      <c r="N73" s="934"/>
      <c r="O73" s="934"/>
      <c r="P73" s="1922"/>
      <c r="Q73" s="508"/>
    </row>
    <row r="74" spans="1:17" s="422" customFormat="1" ht="14.5" thickTop="1">
      <c r="A74" s="502"/>
      <c r="B74" s="495">
        <f>B14</f>
        <v>111</v>
      </c>
      <c r="C74" s="503"/>
      <c r="D74" s="503"/>
      <c r="E74" s="503"/>
      <c r="F74" s="503"/>
      <c r="G74" s="472"/>
      <c r="H74" s="513"/>
      <c r="I74" s="513"/>
      <c r="J74" s="513"/>
      <c r="K74" s="513"/>
      <c r="L74" s="514"/>
      <c r="M74" s="515"/>
      <c r="N74" s="934"/>
      <c r="O74" s="934"/>
      <c r="P74" s="1924"/>
      <c r="Q74" s="508"/>
    </row>
    <row r="75" spans="1:17" s="422" customFormat="1" ht="14.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4.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4.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4.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4.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4.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4.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4.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4.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4.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 thickTop="1">
      <c r="A86" s="528"/>
      <c r="B86" s="487" t="s">
        <v>1734</v>
      </c>
      <c r="C86" s="503"/>
      <c r="D86" s="503"/>
      <c r="E86" s="503"/>
      <c r="F86" s="503"/>
      <c r="G86" s="503"/>
      <c r="H86" s="503"/>
      <c r="I86" s="503"/>
      <c r="J86" s="503"/>
      <c r="K86" s="503"/>
      <c r="L86" s="529"/>
      <c r="M86" s="530"/>
      <c r="N86" s="931"/>
      <c r="O86" s="931"/>
      <c r="P86" s="1921"/>
      <c r="Q86" s="453"/>
    </row>
    <row r="87" spans="1:17" s="108" customFormat="1" ht="14.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4.5" thickTop="1">
      <c r="A88" s="528"/>
      <c r="B88" s="487" t="s">
        <v>1735</v>
      </c>
      <c r="C88" s="503"/>
      <c r="D88" s="503"/>
      <c r="E88" s="503"/>
      <c r="F88" s="1926"/>
      <c r="G88" s="503"/>
      <c r="H88" s="503"/>
      <c r="I88" s="503"/>
      <c r="J88" s="503"/>
      <c r="K88" s="503"/>
      <c r="L88" s="503"/>
      <c r="M88" s="530"/>
      <c r="N88" s="931"/>
      <c r="O88" s="931"/>
      <c r="P88" s="1921"/>
      <c r="Q88" s="453"/>
    </row>
    <row r="89" spans="1:17" s="108" customFormat="1" ht="14.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4.5" thickTop="1">
      <c r="A90" s="502"/>
      <c r="B90" s="487">
        <f>B27</f>
        <v>111</v>
      </c>
      <c r="C90" s="503"/>
      <c r="D90" s="503"/>
      <c r="E90" s="503"/>
      <c r="F90" s="503"/>
      <c r="G90" s="503"/>
      <c r="H90" s="504"/>
      <c r="I90" s="504"/>
      <c r="J90" s="504"/>
      <c r="K90" s="504"/>
      <c r="L90" s="505"/>
      <c r="M90" s="506"/>
      <c r="N90" s="934"/>
      <c r="O90" s="934"/>
      <c r="P90" s="1922"/>
      <c r="Q90" s="508"/>
    </row>
    <row r="91" spans="1:17" s="422" customFormat="1" ht="14.5" thickBot="1">
      <c r="A91" s="502"/>
      <c r="B91" s="492"/>
      <c r="C91" s="509"/>
      <c r="D91" s="509"/>
      <c r="E91" s="509"/>
      <c r="F91" s="509"/>
      <c r="G91" s="509"/>
      <c r="H91" s="511"/>
      <c r="I91" s="511"/>
      <c r="J91" s="511"/>
      <c r="K91" s="511"/>
      <c r="L91" s="511"/>
      <c r="M91" s="512"/>
      <c r="N91" s="934"/>
      <c r="O91" s="934"/>
      <c r="P91" s="1922"/>
      <c r="Q91" s="508"/>
    </row>
    <row r="92" spans="1:17" ht="14.5" thickTop="1">
      <c r="A92" s="483"/>
      <c r="B92" s="487">
        <f>B28</f>
        <v>111</v>
      </c>
      <c r="C92" s="503"/>
      <c r="D92" s="503"/>
      <c r="E92" s="503"/>
      <c r="F92" s="503"/>
      <c r="G92" s="532"/>
      <c r="H92" s="532"/>
      <c r="I92" s="532"/>
      <c r="J92" s="532"/>
      <c r="K92" s="533"/>
      <c r="L92" s="534"/>
      <c r="M92" s="535"/>
      <c r="N92" s="932"/>
      <c r="O92" s="932"/>
      <c r="P92" s="1921"/>
      <c r="Q92" s="453"/>
    </row>
    <row r="93" spans="1:17" ht="14.5" thickBot="1">
      <c r="A93" s="483"/>
      <c r="B93" s="492"/>
      <c r="C93" s="509"/>
      <c r="D93" s="485"/>
      <c r="E93" s="485"/>
      <c r="F93" s="485"/>
      <c r="G93" s="485"/>
      <c r="H93" s="485"/>
      <c r="I93" s="485"/>
      <c r="J93" s="485"/>
      <c r="K93" s="485"/>
      <c r="L93" s="485"/>
      <c r="M93" s="486"/>
      <c r="N93" s="933"/>
      <c r="O93" s="933"/>
      <c r="P93" s="1921"/>
      <c r="Q93" s="453"/>
    </row>
    <row r="94" spans="1:17" ht="14.5" thickTop="1">
      <c r="A94" s="483"/>
      <c r="B94" s="487">
        <f>B29</f>
        <v>111</v>
      </c>
      <c r="C94" s="503"/>
      <c r="D94" s="503"/>
      <c r="E94" s="503"/>
      <c r="F94" s="503"/>
      <c r="G94" s="532"/>
      <c r="H94" s="532"/>
      <c r="I94" s="532"/>
      <c r="J94" s="532"/>
      <c r="K94" s="533"/>
      <c r="L94" s="534"/>
      <c r="M94" s="535"/>
      <c r="N94" s="932"/>
      <c r="O94" s="932"/>
      <c r="P94" s="1921"/>
      <c r="Q94" s="453"/>
    </row>
    <row r="95" spans="1:17" ht="14.5" thickBot="1">
      <c r="A95" s="483"/>
      <c r="B95" s="492"/>
      <c r="C95" s="509"/>
      <c r="D95" s="509"/>
      <c r="E95" s="509"/>
      <c r="F95" s="509"/>
      <c r="G95" s="485"/>
      <c r="H95" s="485"/>
      <c r="I95" s="485"/>
      <c r="J95" s="485"/>
      <c r="K95" s="485"/>
      <c r="L95" s="485"/>
      <c r="M95" s="486"/>
      <c r="N95" s="933"/>
      <c r="O95" s="933"/>
      <c r="P95" s="1921"/>
      <c r="Q95" s="453"/>
    </row>
    <row r="96" spans="1:17" ht="14.5" thickTop="1">
      <c r="A96" s="483"/>
      <c r="B96" s="487">
        <f>B30</f>
        <v>111</v>
      </c>
      <c r="C96" s="503"/>
      <c r="D96" s="503"/>
      <c r="E96" s="503"/>
      <c r="F96" s="503"/>
      <c r="G96" s="532"/>
      <c r="H96" s="532"/>
      <c r="I96" s="532"/>
      <c r="J96" s="532"/>
      <c r="K96" s="533"/>
      <c r="L96" s="534"/>
      <c r="M96" s="535"/>
      <c r="N96" s="932"/>
      <c r="O96" s="932"/>
      <c r="P96" s="1921"/>
      <c r="Q96" s="453"/>
    </row>
    <row r="97" spans="1:17" ht="14.5" thickBot="1">
      <c r="A97" s="483"/>
      <c r="B97" s="492"/>
      <c r="C97" s="519"/>
      <c r="D97" s="519"/>
      <c r="E97" s="519"/>
      <c r="F97" s="519"/>
      <c r="G97" s="485"/>
      <c r="H97" s="485"/>
      <c r="I97" s="485"/>
      <c r="J97" s="485"/>
      <c r="K97" s="485"/>
      <c r="L97" s="485"/>
      <c r="M97" s="486"/>
      <c r="N97" s="933"/>
      <c r="O97" s="933"/>
      <c r="P97" s="1921"/>
      <c r="Q97" s="453"/>
    </row>
    <row r="98" spans="1:17" ht="14.5" thickTop="1">
      <c r="A98" s="483"/>
      <c r="B98" s="495">
        <f>B31</f>
        <v>111</v>
      </c>
      <c r="C98" s="536"/>
      <c r="D98" s="536"/>
      <c r="E98" s="536"/>
      <c r="F98" s="536"/>
      <c r="G98" s="536"/>
      <c r="H98" s="536"/>
      <c r="I98" s="536"/>
      <c r="J98" s="536"/>
      <c r="K98" s="537"/>
      <c r="L98" s="538"/>
      <c r="M98" s="539"/>
      <c r="N98" s="932"/>
      <c r="O98" s="932"/>
      <c r="P98" s="1921"/>
      <c r="Q98" s="453"/>
    </row>
    <row r="99" spans="1:17" ht="14.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4.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4.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4.5" thickBot="1">
      <c r="A104" s="502"/>
      <c r="B104" s="492"/>
      <c r="C104" s="509"/>
      <c r="D104" s="485"/>
      <c r="E104" s="485"/>
      <c r="F104" s="485"/>
      <c r="G104" s="485"/>
      <c r="H104" s="485"/>
      <c r="I104" s="485"/>
      <c r="J104" s="485"/>
      <c r="K104" s="485"/>
      <c r="L104" s="485"/>
      <c r="M104" s="485"/>
      <c r="N104" s="933"/>
      <c r="O104" s="933"/>
      <c r="P104" s="1922"/>
      <c r="Q104" s="508"/>
    </row>
    <row r="105" spans="1:17" ht="14.5" thickTop="1">
      <c r="A105" s="548"/>
      <c r="B105" s="487" t="s">
        <v>1738</v>
      </c>
      <c r="C105" s="503"/>
      <c r="D105" s="503"/>
      <c r="E105" s="532"/>
      <c r="F105" s="532"/>
      <c r="G105" s="532"/>
      <c r="H105" s="532"/>
      <c r="I105" s="532"/>
      <c r="J105" s="532"/>
      <c r="K105" s="533"/>
      <c r="L105" s="534"/>
      <c r="M105" s="535"/>
      <c r="N105" s="932"/>
      <c r="O105" s="932"/>
      <c r="P105" s="1921"/>
      <c r="Q105" s="453"/>
    </row>
    <row r="106" spans="1:17" ht="14.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4.5" thickTop="1">
      <c r="A107" s="548"/>
      <c r="B107" s="487" t="s">
        <v>1739</v>
      </c>
      <c r="C107" s="532"/>
      <c r="D107" s="532"/>
      <c r="E107" s="532"/>
      <c r="F107" s="532"/>
      <c r="G107" s="532"/>
      <c r="H107" s="532"/>
      <c r="I107" s="532"/>
      <c r="J107" s="532"/>
      <c r="K107" s="533"/>
      <c r="L107" s="534"/>
      <c r="M107" s="535"/>
      <c r="N107" s="932"/>
      <c r="O107" s="932"/>
      <c r="P107" s="1921"/>
      <c r="Q107" s="453"/>
    </row>
    <row r="108" spans="1:17" ht="14.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4.5" thickTop="1">
      <c r="A109" s="548"/>
      <c r="B109" s="487" t="s">
        <v>1740</v>
      </c>
      <c r="C109" s="503"/>
      <c r="D109" s="503"/>
      <c r="E109" s="503"/>
      <c r="F109" s="532"/>
      <c r="G109" s="532"/>
      <c r="H109" s="532"/>
      <c r="I109" s="532"/>
      <c r="J109" s="532"/>
      <c r="K109" s="533"/>
      <c r="L109" s="534"/>
      <c r="M109" s="535"/>
      <c r="N109" s="932"/>
      <c r="O109" s="932"/>
      <c r="P109" s="1921"/>
      <c r="Q109" s="453"/>
    </row>
    <row r="110" spans="1:17" ht="14.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4.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4.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4.5" thickTop="1">
      <c r="A114" s="548"/>
      <c r="B114" s="487" t="s">
        <v>1741</v>
      </c>
      <c r="C114" s="503"/>
      <c r="D114" s="503"/>
      <c r="E114" s="532"/>
      <c r="F114" s="532"/>
      <c r="G114" s="532"/>
      <c r="H114" s="532"/>
      <c r="I114" s="532"/>
      <c r="J114" s="532"/>
      <c r="K114" s="533"/>
      <c r="L114" s="534"/>
      <c r="M114" s="535"/>
      <c r="N114" s="932"/>
      <c r="O114" s="932"/>
      <c r="P114" s="1921"/>
      <c r="Q114" s="453"/>
    </row>
    <row r="115" spans="1:17" ht="14.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4.5" thickTop="1">
      <c r="A116" s="548"/>
      <c r="B116" s="487" t="s">
        <v>1742</v>
      </c>
      <c r="C116" s="503"/>
      <c r="D116" s="503"/>
      <c r="E116" s="503"/>
      <c r="F116" s="503"/>
      <c r="G116" s="503"/>
      <c r="H116" s="532"/>
      <c r="I116" s="532"/>
      <c r="J116" s="532"/>
      <c r="K116" s="533"/>
      <c r="L116" s="534"/>
      <c r="M116" s="535"/>
      <c r="N116" s="932"/>
      <c r="O116" s="932"/>
      <c r="P116" s="1921"/>
      <c r="Q116" s="453"/>
    </row>
    <row r="117" spans="1:17" ht="14.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4.5" thickTop="1">
      <c r="A118" s="548"/>
      <c r="B118" s="487" t="s">
        <v>1743</v>
      </c>
      <c r="C118" s="532"/>
      <c r="D118" s="532"/>
      <c r="E118" s="532"/>
      <c r="F118" s="532"/>
      <c r="G118" s="532"/>
      <c r="H118" s="532"/>
      <c r="I118" s="532"/>
      <c r="J118" s="532"/>
      <c r="K118" s="533"/>
      <c r="L118" s="534"/>
      <c r="M118" s="535"/>
      <c r="N118" s="932"/>
      <c r="O118" s="932"/>
      <c r="P118" s="1921"/>
      <c r="Q118" s="453"/>
    </row>
    <row r="119" spans="1:17" ht="14.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9"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4.5" thickBot="1">
      <c r="A121" s="502"/>
      <c r="B121" s="484"/>
      <c r="C121" s="509"/>
      <c r="D121" s="485"/>
      <c r="E121" s="485"/>
      <c r="F121" s="485"/>
      <c r="G121" s="485"/>
      <c r="H121" s="485"/>
      <c r="I121" s="485"/>
      <c r="J121" s="485"/>
      <c r="K121" s="485"/>
      <c r="L121" s="485"/>
      <c r="M121" s="485"/>
      <c r="N121" s="934"/>
      <c r="O121" s="934"/>
      <c r="P121" s="1922"/>
      <c r="Q121" s="508"/>
    </row>
    <row r="122" spans="1:17" ht="14.5" thickTop="1">
      <c r="A122" s="548"/>
      <c r="B122" s="487" t="s">
        <v>1744</v>
      </c>
      <c r="C122" s="503"/>
      <c r="D122" s="503"/>
      <c r="E122" s="503"/>
      <c r="F122" s="532"/>
      <c r="G122" s="532"/>
      <c r="H122" s="532"/>
      <c r="I122" s="532"/>
      <c r="J122" s="532"/>
      <c r="K122" s="533"/>
      <c r="L122" s="534"/>
      <c r="M122" s="535"/>
      <c r="N122" s="932"/>
      <c r="O122" s="932"/>
      <c r="P122" s="1921"/>
      <c r="Q122" s="453"/>
    </row>
    <row r="123" spans="1:17" ht="14.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28.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4.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4.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4.5" thickBot="1">
      <c r="A127" s="502"/>
      <c r="B127" s="492"/>
      <c r="C127" s="509"/>
      <c r="D127" s="485"/>
      <c r="E127" s="485"/>
      <c r="F127" s="485"/>
      <c r="G127" s="509"/>
      <c r="H127" s="511"/>
      <c r="I127" s="511"/>
      <c r="J127" s="511"/>
      <c r="K127" s="511"/>
      <c r="L127" s="511"/>
      <c r="M127" s="512"/>
      <c r="N127" s="934"/>
      <c r="O127" s="934"/>
      <c r="P127" s="1922"/>
      <c r="Q127" s="508"/>
    </row>
    <row r="128" spans="1:17" ht="14.5" thickTop="1">
      <c r="A128" s="548"/>
      <c r="B128" s="487">
        <f>B45</f>
        <v>111</v>
      </c>
      <c r="C128" s="503"/>
      <c r="D128" s="503"/>
      <c r="E128" s="503"/>
      <c r="F128" s="503"/>
      <c r="G128" s="532"/>
      <c r="H128" s="532"/>
      <c r="I128" s="532"/>
      <c r="J128" s="532"/>
      <c r="K128" s="533"/>
      <c r="L128" s="534"/>
      <c r="M128" s="535"/>
      <c r="N128" s="932"/>
      <c r="O128" s="932"/>
      <c r="P128" s="1921"/>
      <c r="Q128" s="453"/>
    </row>
    <row r="129" spans="1:17" ht="14.5" thickBot="1">
      <c r="A129" s="483"/>
      <c r="B129" s="492"/>
      <c r="C129" s="509"/>
      <c r="D129" s="509"/>
      <c r="E129" s="509"/>
      <c r="F129" s="509"/>
      <c r="G129" s="485"/>
      <c r="H129" s="485"/>
      <c r="I129" s="485"/>
      <c r="J129" s="485"/>
      <c r="K129" s="485"/>
      <c r="L129" s="485"/>
      <c r="M129" s="486"/>
      <c r="N129" s="933"/>
      <c r="O129" s="933"/>
      <c r="P129" s="1921"/>
      <c r="Q129" s="453"/>
    </row>
    <row r="130" spans="1:17" ht="14.5" thickTop="1">
      <c r="A130" s="548"/>
      <c r="B130" s="495">
        <f>B46</f>
        <v>111</v>
      </c>
      <c r="C130" s="503"/>
      <c r="D130" s="503"/>
      <c r="E130" s="503"/>
      <c r="F130" s="503"/>
      <c r="G130" s="536"/>
      <c r="H130" s="536"/>
      <c r="I130" s="536"/>
      <c r="J130" s="536"/>
      <c r="K130" s="472"/>
      <c r="L130" s="473"/>
      <c r="M130" s="539"/>
      <c r="N130" s="932"/>
      <c r="O130" s="932"/>
      <c r="P130" s="1921"/>
      <c r="Q130" s="453"/>
    </row>
    <row r="131" spans="1:17" ht="14.5" thickBot="1">
      <c r="A131" s="1927"/>
      <c r="B131" s="518"/>
      <c r="C131" s="519"/>
      <c r="D131" s="519"/>
      <c r="E131" s="519"/>
      <c r="F131" s="519"/>
      <c r="G131" s="540"/>
      <c r="H131" s="540"/>
      <c r="I131" s="540"/>
      <c r="J131" s="540"/>
      <c r="K131" s="540"/>
      <c r="L131" s="540"/>
      <c r="M131" s="541"/>
      <c r="N131" s="933"/>
      <c r="O131" s="933"/>
      <c r="P131" s="1921"/>
      <c r="Q131" s="453"/>
    </row>
    <row r="136" spans="1:17" ht="14.5" thickBot="1">
      <c r="B136" s="1928" t="s">
        <v>1746</v>
      </c>
    </row>
    <row r="137" spans="1:17" ht="15.5">
      <c r="B137" s="1929" t="s">
        <v>1747</v>
      </c>
      <c r="C137" s="1930"/>
      <c r="D137" s="1930"/>
      <c r="E137" s="1930"/>
      <c r="F137" s="1930"/>
      <c r="G137" s="1931"/>
      <c r="H137" s="1932"/>
      <c r="I137" s="1933" t="s">
        <v>1748</v>
      </c>
      <c r="J137" s="1930"/>
      <c r="K137" s="1934"/>
    </row>
    <row r="138" spans="1:17" ht="15.5">
      <c r="B138" s="1935"/>
      <c r="C138" s="137" t="s">
        <v>1749</v>
      </c>
      <c r="D138" s="137" t="s">
        <v>1750</v>
      </c>
      <c r="E138" s="1936" t="s">
        <v>1751</v>
      </c>
      <c r="F138" s="1937" t="s">
        <v>1752</v>
      </c>
      <c r="G138" s="137" t="s">
        <v>1750</v>
      </c>
      <c r="H138" s="138" t="s">
        <v>1751</v>
      </c>
      <c r="I138" s="1938"/>
      <c r="J138" s="137" t="s">
        <v>1753</v>
      </c>
      <c r="K138" s="138" t="s">
        <v>1754</v>
      </c>
    </row>
    <row r="139" spans="1:17" ht="15.5">
      <c r="B139" s="866">
        <v>6</v>
      </c>
      <c r="C139" s="867">
        <v>96</v>
      </c>
      <c r="D139" s="1939" t="s">
        <v>1755</v>
      </c>
      <c r="E139" s="868">
        <v>100</v>
      </c>
      <c r="F139" s="869">
        <v>102.5</v>
      </c>
      <c r="G139" s="1939" t="s">
        <v>1755</v>
      </c>
      <c r="H139" s="870">
        <v>105</v>
      </c>
      <c r="I139" s="1940" t="s">
        <v>1756</v>
      </c>
      <c r="J139" s="867">
        <v>20</v>
      </c>
      <c r="K139" s="871">
        <f>C145/(J139-2)</f>
        <v>4.0555555555555553E-3</v>
      </c>
    </row>
    <row r="140" spans="1:17" ht="15.5">
      <c r="B140" s="872">
        <v>5</v>
      </c>
      <c r="C140" s="873">
        <v>100</v>
      </c>
      <c r="D140" s="873"/>
      <c r="E140" s="874"/>
      <c r="F140" s="875">
        <v>102</v>
      </c>
      <c r="G140" s="873"/>
      <c r="H140" s="876"/>
      <c r="I140" s="1941" t="s">
        <v>1757</v>
      </c>
      <c r="J140" s="271">
        <f>ROUNDUP((J139-1)/2,0)</f>
        <v>10</v>
      </c>
      <c r="K140" s="877">
        <v>100</v>
      </c>
    </row>
    <row r="141" spans="1:17" ht="15.5">
      <c r="B141" s="872">
        <v>4</v>
      </c>
      <c r="C141" s="873">
        <v>102</v>
      </c>
      <c r="D141" s="873"/>
      <c r="E141" s="874"/>
      <c r="F141" s="875">
        <v>101.5</v>
      </c>
      <c r="G141" s="873"/>
      <c r="H141" s="876"/>
      <c r="I141" s="1941" t="s">
        <v>1758</v>
      </c>
      <c r="J141" s="271">
        <v>1</v>
      </c>
      <c r="K141" s="878">
        <f>ROUND(100+(J141-J140)*K139*100,1)</f>
        <v>96.4</v>
      </c>
    </row>
    <row r="142" spans="1:17" ht="15.5">
      <c r="B142" s="872">
        <v>3</v>
      </c>
      <c r="C142" s="873">
        <v>103</v>
      </c>
      <c r="D142" s="873"/>
      <c r="E142" s="874"/>
      <c r="F142" s="875">
        <v>101</v>
      </c>
      <c r="G142" s="873"/>
      <c r="H142" s="876"/>
      <c r="I142" s="1941" t="s">
        <v>1759</v>
      </c>
      <c r="J142" s="271">
        <f>J139</f>
        <v>20</v>
      </c>
      <c r="K142" s="879">
        <v>95</v>
      </c>
    </row>
    <row r="143" spans="1:17" ht="15.5">
      <c r="B143" s="872">
        <v>2</v>
      </c>
      <c r="C143" s="873">
        <v>100</v>
      </c>
      <c r="D143" s="873"/>
      <c r="E143" s="874"/>
      <c r="F143" s="875">
        <v>100.5</v>
      </c>
      <c r="G143" s="873"/>
      <c r="H143" s="876"/>
      <c r="I143" s="1941" t="s">
        <v>1760</v>
      </c>
      <c r="J143" s="873">
        <v>15</v>
      </c>
      <c r="K143" s="878">
        <f>ROUND(100+(J143-J140)*K139*100,1)</f>
        <v>102</v>
      </c>
    </row>
    <row r="144" spans="1:17" ht="15.5">
      <c r="B144" s="872">
        <v>1</v>
      </c>
      <c r="C144" s="873">
        <v>98</v>
      </c>
      <c r="D144" s="1942" t="s">
        <v>1761</v>
      </c>
      <c r="E144" s="874">
        <v>102</v>
      </c>
      <c r="F144" s="880">
        <v>100</v>
      </c>
      <c r="G144" s="1942" t="s">
        <v>1761</v>
      </c>
      <c r="H144" s="876">
        <v>105</v>
      </c>
      <c r="I144" s="1941" t="s">
        <v>1760</v>
      </c>
      <c r="J144" s="873">
        <v>18</v>
      </c>
      <c r="K144" s="878">
        <f>ROUND(100+(J144-J140)*K139*100,1)</f>
        <v>103.2</v>
      </c>
    </row>
    <row r="145" spans="2:11" ht="16"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6" customWidth="1"/>
    <col min="2" max="16384" width="9" style="1476"/>
  </cols>
  <sheetData>
    <row r="1" spans="1:1" ht="23">
      <c r="A1" s="1475" t="s">
        <v>898</v>
      </c>
    </row>
    <row r="2" spans="1:1">
      <c r="A2" s="1477"/>
    </row>
    <row r="3" spans="1:1" ht="18">
      <c r="A3" s="1478" t="str">
        <f>项目基本情况!B5&amp;"："</f>
        <v>：</v>
      </c>
    </row>
    <row r="4" spans="1:1" ht="35">
      <c r="A4" s="1479" t="str">
        <f>"受贵公司委托，我公司对"&amp;项目基本情况!S1&amp;"进行了预评估。"</f>
        <v>受贵公司委托，我公司对北京市昌平区英才北三街16号院4号楼3层304办公用房房地产抵押价值进行了预评估。</v>
      </c>
    </row>
    <row r="5" spans="1:1" ht="18">
      <c r="A5" s="1480" t="s">
        <v>899</v>
      </c>
    </row>
    <row r="6" spans="1:1" ht="17.5">
      <c r="A6" s="1481" t="s">
        <v>900</v>
      </c>
    </row>
    <row r="7" spans="1:1" ht="52.5">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估价对象为北京市昌平区英才北三街16号院4号楼3层304办公用房房地产，为所有。根据《国有土地使用证》[]，估价对象（分摊）出让国有建设用地使用权面积为0平方米，建筑面积为148.12平方米。</v>
      </c>
    </row>
    <row r="8" spans="1:1" ht="53.5">
      <c r="A8" s="1482" t="s">
        <v>901</v>
      </c>
    </row>
    <row r="9" spans="1:1" ht="17.5">
      <c r="A9" s="1481" t="s">
        <v>902</v>
      </c>
    </row>
    <row r="10" spans="1:1" ht="70">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1" spans="1:1" ht="71">
      <c r="A11" s="1482" t="s">
        <v>903</v>
      </c>
    </row>
    <row r="12" spans="1:1" ht="18">
      <c r="A12" s="1480" t="s">
        <v>904</v>
      </c>
    </row>
    <row r="13" spans="1:1" ht="38.25" customHeight="1">
      <c r="A13" s="1483" t="str">
        <f>IF(项目基本情况!B8="抵押",IF(项目基本情况!B5=项目基本情况!B6,定义!C51,定义!B51),定义!D51)</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4" spans="1:1" ht="18">
      <c r="A14" s="1484" t="s">
        <v>905</v>
      </c>
    </row>
    <row r="15" spans="1:1" ht="17.5">
      <c r="A15" s="1485" t="str">
        <f>TEXT(项目基本情况!D3,"yyyy年m月d日;;")&amp;IF(项目基本情况!D3=项目基本情况!B3,"（评估专业人员实地查勘之日）","")</f>
        <v>2025年2月28日（评估专业人员实地查勘之日）</v>
      </c>
    </row>
    <row r="16" spans="1:1" ht="18">
      <c r="A16" s="1484" t="s">
        <v>906</v>
      </c>
    </row>
    <row r="17" spans="1:1" ht="70">
      <c r="A17" s="1479" t="s">
        <v>907</v>
      </c>
    </row>
    <row r="18" spans="1:1" ht="70">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84" t="s">
        <v>896</v>
      </c>
    </row>
    <row r="24" spans="1:1" ht="17.5">
      <c r="A24" s="1486" t="str">
        <f>"本次评估采用的主估价方法为"&amp;结果表!K4&amp;"和"&amp;结果表!L4&amp;"。"</f>
        <v>本次评估采用的主估价方法为比较法和收益法。</v>
      </c>
    </row>
    <row r="25" spans="1:1" ht="17.5">
      <c r="A25" s="1486"/>
    </row>
    <row r="26" spans="1:1" ht="1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
  <cols>
    <col min="1" max="1" width="10.453125" style="357" customWidth="1"/>
    <col min="2" max="2" width="15.7265625" style="357" customWidth="1"/>
    <col min="3" max="3" width="15.0898437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24713</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c r="A4" s="355" t="s">
        <v>1769</v>
      </c>
      <c r="B4" s="356"/>
      <c r="C4" s="3711" t="s">
        <v>1770</v>
      </c>
      <c r="D4" s="3712"/>
      <c r="E4" s="3713" t="s">
        <v>1771</v>
      </c>
      <c r="F4" s="3714"/>
      <c r="G4" s="3711" t="s">
        <v>1772</v>
      </c>
      <c r="H4" s="3712"/>
      <c r="I4" s="3711" t="s">
        <v>1773</v>
      </c>
      <c r="J4" s="3712"/>
      <c r="K4" s="559" t="s">
        <v>1774</v>
      </c>
      <c r="L4" s="2712"/>
      <c r="M4" s="2713"/>
      <c r="N4" s="2713"/>
      <c r="O4" s="2713"/>
      <c r="P4" s="3769" t="s">
        <v>1775</v>
      </c>
      <c r="Q4" s="3770"/>
      <c r="R4" s="3773" t="s">
        <v>1771</v>
      </c>
      <c r="S4" s="3774"/>
      <c r="T4" s="3773" t="s">
        <v>1772</v>
      </c>
      <c r="U4" s="3774"/>
      <c r="V4" s="3728" t="s">
        <v>1773</v>
      </c>
      <c r="W4" s="3728"/>
      <c r="X4" s="1354"/>
      <c r="Y4" s="3773" t="s">
        <v>1775</v>
      </c>
      <c r="Z4" s="3774"/>
      <c r="AA4" s="3768" t="s">
        <v>1771</v>
      </c>
      <c r="AB4" s="3728" t="s">
        <v>1772</v>
      </c>
      <c r="AC4" s="3768" t="s">
        <v>1773</v>
      </c>
    </row>
    <row r="5" spans="1:29">
      <c r="A5" s="358"/>
      <c r="B5" s="359"/>
      <c r="C5" s="3775" t="s">
        <v>1673</v>
      </c>
      <c r="D5" s="3732"/>
      <c r="E5" s="3742" t="s">
        <v>3448</v>
      </c>
      <c r="F5" s="3743"/>
      <c r="G5" s="3731" t="s">
        <v>3473</v>
      </c>
      <c r="H5" s="3732"/>
      <c r="I5" s="3731" t="s">
        <v>3474</v>
      </c>
      <c r="J5" s="3732"/>
      <c r="K5" s="559"/>
      <c r="L5" s="2712"/>
      <c r="M5" s="2713"/>
      <c r="N5" s="2713"/>
      <c r="O5" s="2713"/>
      <c r="P5" s="3771"/>
      <c r="Q5" s="3718"/>
      <c r="R5" s="3723"/>
      <c r="S5" s="3724"/>
      <c r="T5" s="3723"/>
      <c r="U5" s="3724"/>
      <c r="V5" s="3728"/>
      <c r="W5" s="3728"/>
      <c r="X5" s="1354"/>
      <c r="Y5" s="3723"/>
      <c r="Z5" s="3724"/>
      <c r="AA5" s="3740"/>
      <c r="AB5" s="3728"/>
      <c r="AC5" s="3740"/>
    </row>
    <row r="6" spans="1:29" ht="15" thickBot="1">
      <c r="A6" s="360"/>
      <c r="B6" s="361"/>
      <c r="C6" s="3729" t="s">
        <v>1677</v>
      </c>
      <c r="D6" s="3730"/>
      <c r="E6" s="3737" t="s">
        <v>1677</v>
      </c>
      <c r="F6" s="3738"/>
      <c r="G6" s="3729" t="s">
        <v>1677</v>
      </c>
      <c r="H6" s="3730"/>
      <c r="I6" s="3729" t="s">
        <v>1677</v>
      </c>
      <c r="J6" s="3730"/>
      <c r="K6" s="559" t="s">
        <v>1678</v>
      </c>
      <c r="L6" s="2712"/>
      <c r="M6" s="2713"/>
      <c r="N6" s="2713"/>
      <c r="O6" s="2713"/>
      <c r="P6" s="3772"/>
      <c r="Q6" s="3720"/>
      <c r="R6" s="3723"/>
      <c r="S6" s="3724"/>
      <c r="T6" s="3725"/>
      <c r="U6" s="3726"/>
      <c r="V6" s="3728"/>
      <c r="W6" s="3728"/>
      <c r="X6" s="1354"/>
      <c r="Y6" s="3725"/>
      <c r="Z6" s="3726"/>
      <c r="AA6" s="3741"/>
      <c r="AB6" s="3728"/>
      <c r="AC6" s="3741"/>
    </row>
    <row r="7" spans="1:29" s="108" customFormat="1" ht="14.5" thickBot="1">
      <c r="A7" s="362" t="s">
        <v>1679</v>
      </c>
      <c r="B7" s="363"/>
      <c r="C7" s="364">
        <f>'数据-取费表'!B2</f>
        <v>45716</v>
      </c>
      <c r="D7" s="365">
        <v>100</v>
      </c>
      <c r="E7" s="366">
        <f>C7</f>
        <v>45716</v>
      </c>
      <c r="F7" s="367">
        <f>SUMIF(58:58,YEAR(E7)&amp;"-"&amp;MONTH(E7),59:59)</f>
        <v>100</v>
      </c>
      <c r="G7" s="366">
        <f>C7</f>
        <v>45716</v>
      </c>
      <c r="H7" s="365">
        <f>SUMIF(58:58,YEAR(G7)&amp;"-"&amp;MONTH(G7),59:59)</f>
        <v>100</v>
      </c>
      <c r="I7" s="366">
        <f>C7</f>
        <v>45716</v>
      </c>
      <c r="J7" s="365">
        <f>SUMIF(58:58,YEAR(I7)&amp;"-"&amp;MONTH(I7),59:59)</f>
        <v>100</v>
      </c>
      <c r="K7" s="560"/>
      <c r="L7" s="2714"/>
      <c r="M7" s="2715"/>
      <c r="N7" s="2715"/>
      <c r="O7" s="2715"/>
      <c r="P7" s="3735" t="s">
        <v>1680</v>
      </c>
      <c r="Q7" s="3736"/>
      <c r="R7" s="700" t="s">
        <v>14</v>
      </c>
      <c r="S7" s="701">
        <f t="shared" ref="S7:S15" si="0">F7</f>
        <v>100</v>
      </c>
      <c r="T7" s="700" t="s">
        <v>14</v>
      </c>
      <c r="U7" s="701">
        <f t="shared" ref="U7:U15" si="1">H7</f>
        <v>100</v>
      </c>
      <c r="V7" s="700" t="s">
        <v>14</v>
      </c>
      <c r="W7" s="701">
        <f t="shared" ref="W7:W15" si="2">J7</f>
        <v>100</v>
      </c>
      <c r="X7" s="702"/>
      <c r="Y7" s="3735" t="s">
        <v>1680</v>
      </c>
      <c r="Z7" s="3734"/>
      <c r="AA7" s="703">
        <f>D7/F7</f>
        <v>1</v>
      </c>
      <c r="AB7" s="703">
        <f>D7/H7</f>
        <v>1</v>
      </c>
      <c r="AC7" s="703">
        <f>D7/J7</f>
        <v>1</v>
      </c>
    </row>
    <row r="8" spans="1:29" s="108" customFormat="1" ht="14.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735" t="s">
        <v>1683</v>
      </c>
      <c r="Q8" s="3734"/>
      <c r="R8" s="700" t="s">
        <v>14</v>
      </c>
      <c r="S8" s="701">
        <f t="shared" si="0"/>
        <v>103</v>
      </c>
      <c r="T8" s="700" t="s">
        <v>14</v>
      </c>
      <c r="U8" s="701">
        <f t="shared" si="1"/>
        <v>103</v>
      </c>
      <c r="V8" s="700" t="s">
        <v>14</v>
      </c>
      <c r="W8" s="701">
        <f t="shared" si="2"/>
        <v>103</v>
      </c>
      <c r="X8" s="702"/>
      <c r="Y8" s="3735" t="s">
        <v>1683</v>
      </c>
      <c r="Z8" s="3734"/>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3"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8">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93"/>
      <c r="Q10" s="1342" t="str">
        <f t="shared" si="6"/>
        <v>土地使用年限（年）</v>
      </c>
      <c r="R10" s="700" t="s">
        <v>14</v>
      </c>
      <c r="S10" s="701">
        <f t="shared" si="0"/>
        <v>102</v>
      </c>
      <c r="T10" s="700" t="s">
        <v>14</v>
      </c>
      <c r="U10" s="701">
        <f t="shared" si="1"/>
        <v>102</v>
      </c>
      <c r="V10" s="700" t="s">
        <v>14</v>
      </c>
      <c r="W10" s="701">
        <f t="shared" si="2"/>
        <v>102</v>
      </c>
      <c r="X10" s="702"/>
      <c r="Y10" s="3573"/>
      <c r="Z10" s="52" t="str">
        <f t="shared" si="7"/>
        <v>土地使用年限（年）</v>
      </c>
      <c r="AA10" s="703">
        <f t="shared" si="3"/>
        <v>0.98039215686274506</v>
      </c>
      <c r="AB10" s="703">
        <f t="shared" si="4"/>
        <v>0.98039215686274506</v>
      </c>
      <c r="AC10" s="703">
        <f t="shared" si="5"/>
        <v>0.98039215686274506</v>
      </c>
    </row>
    <row r="11" spans="1:29" ht="15.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3"/>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70">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9" t="s">
        <v>1691</v>
      </c>
      <c r="Q15" s="1351" t="str">
        <f t="shared" si="6"/>
        <v>商业繁华度</v>
      </c>
      <c r="R15" s="704" t="s">
        <v>14</v>
      </c>
      <c r="S15" s="705">
        <f t="shared" si="0"/>
        <v>100</v>
      </c>
      <c r="T15" s="704" t="s">
        <v>14</v>
      </c>
      <c r="U15" s="705">
        <f t="shared" si="1"/>
        <v>100</v>
      </c>
      <c r="V15" s="704" t="s">
        <v>14</v>
      </c>
      <c r="W15" s="705">
        <f t="shared" si="2"/>
        <v>100</v>
      </c>
      <c r="X15" s="1354"/>
      <c r="Y15" s="3701" t="s">
        <v>1691</v>
      </c>
      <c r="Z15" s="1355" t="str">
        <f t="shared" si="7"/>
        <v>商业繁华度</v>
      </c>
      <c r="AA15" s="1352">
        <f t="shared" si="3"/>
        <v>1</v>
      </c>
      <c r="AB15" s="1352">
        <f t="shared" si="4"/>
        <v>1</v>
      </c>
      <c r="AC15" s="1352">
        <f t="shared" si="5"/>
        <v>1</v>
      </c>
    </row>
    <row r="16" spans="1:29" ht="15.5">
      <c r="A16" s="379"/>
      <c r="B16" s="397"/>
      <c r="C16" s="398" t="s">
        <v>3424</v>
      </c>
      <c r="D16" s="399"/>
      <c r="E16" s="398" t="s">
        <v>3424</v>
      </c>
      <c r="F16" s="400"/>
      <c r="G16" s="398" t="s">
        <v>3424</v>
      </c>
      <c r="H16" s="401"/>
      <c r="I16" s="398" t="s">
        <v>3424</v>
      </c>
      <c r="J16" s="399"/>
      <c r="K16" s="564"/>
      <c r="L16" s="2719"/>
      <c r="M16" s="2713"/>
      <c r="N16" s="2713"/>
      <c r="O16" s="2713"/>
      <c r="P16" s="3700"/>
      <c r="Q16" s="1351"/>
      <c r="R16" s="704"/>
      <c r="S16" s="705"/>
      <c r="T16" s="704"/>
      <c r="U16" s="705"/>
      <c r="V16" s="704"/>
      <c r="W16" s="705"/>
      <c r="X16" s="1354"/>
      <c r="Y16" s="3702"/>
      <c r="Z16" s="1355"/>
      <c r="AA16" s="1352">
        <v>1</v>
      </c>
      <c r="AB16" s="1352">
        <v>1</v>
      </c>
      <c r="AC16" s="1352">
        <v>1</v>
      </c>
    </row>
    <row r="17" spans="1:29" ht="84">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5">
      <c r="A18" s="379"/>
      <c r="B18" s="407"/>
      <c r="C18" s="1900" t="s">
        <v>3424</v>
      </c>
      <c r="D18" s="401"/>
      <c r="E18" s="1900" t="s">
        <v>3424</v>
      </c>
      <c r="F18" s="404"/>
      <c r="G18" s="1900" t="s">
        <v>3424</v>
      </c>
      <c r="H18" s="399"/>
      <c r="I18" s="1900" t="s">
        <v>3424</v>
      </c>
      <c r="J18" s="399"/>
      <c r="K18" s="564"/>
      <c r="L18" s="2719"/>
      <c r="M18" s="2713"/>
      <c r="N18" s="2713"/>
      <c r="O18" s="2713"/>
      <c r="P18" s="3700"/>
      <c r="Q18" s="1351"/>
      <c r="R18" s="704"/>
      <c r="S18" s="705"/>
      <c r="T18" s="704"/>
      <c r="U18" s="705"/>
      <c r="V18" s="704"/>
      <c r="W18" s="705"/>
      <c r="X18" s="1354"/>
      <c r="Y18" s="3702"/>
      <c r="Z18" s="1355"/>
      <c r="AA18" s="1352">
        <v>1</v>
      </c>
      <c r="AB18" s="1352">
        <v>1</v>
      </c>
      <c r="AC18" s="1352">
        <v>1</v>
      </c>
    </row>
    <row r="19" spans="1:29" ht="42">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5">
      <c r="A20" s="379"/>
      <c r="B20" s="407"/>
      <c r="C20" s="398" t="s">
        <v>3424</v>
      </c>
      <c r="D20" s="399"/>
      <c r="E20" s="398" t="s">
        <v>3424</v>
      </c>
      <c r="F20" s="400"/>
      <c r="G20" s="398" t="s">
        <v>3424</v>
      </c>
      <c r="H20" s="399"/>
      <c r="I20" s="398" t="s">
        <v>3424</v>
      </c>
      <c r="J20" s="399"/>
      <c r="K20" s="564"/>
      <c r="L20" s="2719"/>
      <c r="M20" s="2713"/>
      <c r="N20" s="2713"/>
      <c r="O20" s="2713"/>
      <c r="P20" s="3700"/>
      <c r="Q20" s="1351"/>
      <c r="R20" s="704"/>
      <c r="S20" s="705"/>
      <c r="T20" s="704"/>
      <c r="U20" s="705"/>
      <c r="V20" s="704"/>
      <c r="W20" s="705"/>
      <c r="X20" s="1354"/>
      <c r="Y20" s="3702"/>
      <c r="Z20" s="1355"/>
      <c r="AA20" s="1352">
        <v>1</v>
      </c>
      <c r="AB20" s="1352">
        <v>1</v>
      </c>
      <c r="AC20" s="1352">
        <v>1</v>
      </c>
    </row>
    <row r="21" spans="1:29" ht="28">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5">
      <c r="A22" s="379"/>
      <c r="B22" s="1130"/>
      <c r="C22" s="1900" t="s">
        <v>3440</v>
      </c>
      <c r="D22" s="399"/>
      <c r="E22" s="1900" t="s">
        <v>3440</v>
      </c>
      <c r="F22" s="400"/>
      <c r="G22" s="1900" t="s">
        <v>3440</v>
      </c>
      <c r="H22" s="399"/>
      <c r="I22" s="1900" t="s">
        <v>3440</v>
      </c>
      <c r="J22" s="399"/>
      <c r="K22" s="1129"/>
      <c r="L22" s="2719"/>
      <c r="M22" s="2713"/>
      <c r="N22" s="2713"/>
      <c r="O22" s="2713"/>
      <c r="P22" s="3700"/>
      <c r="Q22" s="1351"/>
      <c r="R22" s="704"/>
      <c r="S22" s="705"/>
      <c r="T22" s="704"/>
      <c r="U22" s="705"/>
      <c r="V22" s="704"/>
      <c r="W22" s="705"/>
      <c r="X22" s="1354"/>
      <c r="Y22" s="3702"/>
      <c r="Z22" s="1355"/>
      <c r="AA22" s="1352">
        <v>1</v>
      </c>
      <c r="AB22" s="1352">
        <v>1</v>
      </c>
      <c r="AC22" s="1352">
        <v>1</v>
      </c>
    </row>
    <row r="23" spans="1:29" ht="56">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0"/>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5">
      <c r="A24" s="379"/>
      <c r="B24" s="407"/>
      <c r="C24" s="398" t="s">
        <v>3424</v>
      </c>
      <c r="D24" s="399"/>
      <c r="E24" s="398" t="s">
        <v>3424</v>
      </c>
      <c r="F24" s="400"/>
      <c r="G24" s="398" t="s">
        <v>3424</v>
      </c>
      <c r="H24" s="399"/>
      <c r="I24" s="398" t="s">
        <v>3424</v>
      </c>
      <c r="J24" s="399"/>
      <c r="K24" s="564"/>
      <c r="L24" s="2719"/>
      <c r="M24" s="2713"/>
      <c r="N24" s="2713"/>
      <c r="O24" s="2713"/>
      <c r="P24" s="3700"/>
      <c r="Q24" s="1351"/>
      <c r="R24" s="704"/>
      <c r="S24" s="705"/>
      <c r="T24" s="704"/>
      <c r="U24" s="705"/>
      <c r="V24" s="704"/>
      <c r="W24" s="705"/>
      <c r="X24" s="1354"/>
      <c r="Y24" s="3702"/>
      <c r="Z24" s="1355"/>
      <c r="AA24" s="1352">
        <v>1</v>
      </c>
      <c r="AB24" s="1352">
        <v>1</v>
      </c>
      <c r="AC24" s="1352">
        <v>1</v>
      </c>
    </row>
    <row r="25" spans="1:29" ht="15.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00"/>
      <c r="Q25" s="1351" t="str">
        <f t="shared" ref="Q25:Q46" si="11">B25</f>
        <v>临街状况</v>
      </c>
      <c r="R25" s="704" t="s">
        <v>14</v>
      </c>
      <c r="S25" s="705">
        <f>F25</f>
        <v>103</v>
      </c>
      <c r="T25" s="704" t="s">
        <v>14</v>
      </c>
      <c r="U25" s="705">
        <f>H25</f>
        <v>103</v>
      </c>
      <c r="V25" s="704" t="s">
        <v>14</v>
      </c>
      <c r="W25" s="705">
        <f>J25</f>
        <v>103</v>
      </c>
      <c r="X25" s="1354"/>
      <c r="Y25" s="3702"/>
      <c r="Z25" s="1355" t="str">
        <f>Q25</f>
        <v>临街状况</v>
      </c>
      <c r="AA25" s="1352">
        <f t="shared" si="3"/>
        <v>0.970873786407767</v>
      </c>
      <c r="AB25" s="1352">
        <f t="shared" si="4"/>
        <v>0.970873786407767</v>
      </c>
      <c r="AC25" s="1352">
        <f t="shared" si="5"/>
        <v>0.970873786407767</v>
      </c>
    </row>
    <row r="26" spans="1:29" ht="15.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00"/>
      <c r="Q26" s="1351" t="str">
        <f t="shared" si="11"/>
        <v>平面位置/可视性</v>
      </c>
      <c r="R26" s="704" t="s">
        <v>14</v>
      </c>
      <c r="S26" s="705">
        <f>F26</f>
        <v>106</v>
      </c>
      <c r="T26" s="704" t="s">
        <v>14</v>
      </c>
      <c r="U26" s="705">
        <f>H26</f>
        <v>106</v>
      </c>
      <c r="V26" s="704" t="s">
        <v>14</v>
      </c>
      <c r="W26" s="705">
        <f>J26</f>
        <v>106</v>
      </c>
      <c r="X26" s="1354"/>
      <c r="Y26" s="3702"/>
      <c r="Z26" s="1355" t="str">
        <f>Q26</f>
        <v>平面位置/可视性</v>
      </c>
      <c r="AA26" s="1352">
        <f t="shared" si="3"/>
        <v>0.94339622641509435</v>
      </c>
      <c r="AB26" s="1352">
        <f t="shared" si="4"/>
        <v>0.94339622641509435</v>
      </c>
      <c r="AC26" s="1352">
        <f t="shared" si="5"/>
        <v>0.94339622641509435</v>
      </c>
    </row>
    <row r="27" spans="1:29" s="108" customFormat="1" ht="15.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00"/>
      <c r="Q27" s="1342" t="str">
        <f t="shared" si="11"/>
        <v>人流量</v>
      </c>
      <c r="R27" s="700" t="s">
        <v>14</v>
      </c>
      <c r="S27" s="701">
        <f>F27</f>
        <v>102</v>
      </c>
      <c r="T27" s="700" t="s">
        <v>14</v>
      </c>
      <c r="U27" s="701">
        <f>H27</f>
        <v>102</v>
      </c>
      <c r="V27" s="700" t="s">
        <v>14</v>
      </c>
      <c r="W27" s="701">
        <f>J27</f>
        <v>102</v>
      </c>
      <c r="X27" s="702"/>
      <c r="Y27" s="3702"/>
      <c r="Z27" s="52" t="str">
        <f>Q27</f>
        <v>人流量</v>
      </c>
      <c r="AA27" s="1352">
        <f>D27/F27</f>
        <v>0.98039215686274506</v>
      </c>
      <c r="AB27" s="1352">
        <f>D27/H27</f>
        <v>0.98039215686274506</v>
      </c>
      <c r="AC27" s="1352">
        <f>D27/J27</f>
        <v>0.98039215686274506</v>
      </c>
    </row>
    <row r="28" spans="1:29" ht="15.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0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00"/>
      <c r="Q29" s="1351" t="str">
        <f t="shared" si="11"/>
        <v>板块</v>
      </c>
      <c r="R29" s="704" t="s">
        <v>14</v>
      </c>
      <c r="S29" s="705">
        <f t="shared" si="12"/>
        <v>110</v>
      </c>
      <c r="T29" s="704" t="s">
        <v>14</v>
      </c>
      <c r="U29" s="705">
        <f t="shared" si="13"/>
        <v>110</v>
      </c>
      <c r="V29" s="704" t="s">
        <v>14</v>
      </c>
      <c r="W29" s="705">
        <f t="shared" si="14"/>
        <v>110</v>
      </c>
      <c r="X29" s="1354"/>
      <c r="Y29" s="3702"/>
      <c r="Z29" s="1355" t="str">
        <f t="shared" si="15"/>
        <v>板块</v>
      </c>
      <c r="AA29" s="1352">
        <f t="shared" si="3"/>
        <v>0.90909090909090906</v>
      </c>
      <c r="AB29" s="1352">
        <f t="shared" si="4"/>
        <v>0.90909090909090906</v>
      </c>
      <c r="AC29" s="1352">
        <f t="shared" si="5"/>
        <v>0.90909090909090906</v>
      </c>
    </row>
    <row r="30" spans="1:29" ht="15.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3" t="s">
        <v>1696</v>
      </c>
      <c r="Q32" s="1351" t="str">
        <f t="shared" si="11"/>
        <v>商业类型</v>
      </c>
      <c r="R32" s="704" t="s">
        <v>14</v>
      </c>
      <c r="S32" s="705">
        <f t="shared" si="12"/>
        <v>100</v>
      </c>
      <c r="T32" s="704" t="s">
        <v>14</v>
      </c>
      <c r="U32" s="705">
        <f t="shared" si="13"/>
        <v>100</v>
      </c>
      <c r="V32" s="704" t="s">
        <v>14</v>
      </c>
      <c r="W32" s="705">
        <f t="shared" si="14"/>
        <v>100</v>
      </c>
      <c r="X32" s="1354"/>
      <c r="Y32" s="3706" t="s">
        <v>1696</v>
      </c>
      <c r="Z32" s="1355" t="str">
        <f t="shared" si="15"/>
        <v>商业类型</v>
      </c>
      <c r="AA32" s="1352">
        <f t="shared" si="3"/>
        <v>1</v>
      </c>
      <c r="AB32" s="1352">
        <f t="shared" si="4"/>
        <v>1</v>
      </c>
      <c r="AC32" s="1352">
        <f t="shared" si="5"/>
        <v>1</v>
      </c>
    </row>
    <row r="33" spans="1:29" s="422" customFormat="1" ht="15.5">
      <c r="A33" s="419"/>
      <c r="B33" s="375" t="s">
        <v>1697</v>
      </c>
      <c r="C33" s="420">
        <f>'数据-基础表'!I13</f>
        <v>148.12</v>
      </c>
      <c r="D33" s="127">
        <v>100</v>
      </c>
      <c r="E33" s="381">
        <v>85.82</v>
      </c>
      <c r="F33" s="376">
        <f>LOOKUP(E33,103:103,104:104)-LOOKUP(C33,103:103,104:104)+100</f>
        <v>101</v>
      </c>
      <c r="G33" s="380">
        <v>82.81</v>
      </c>
      <c r="H33" s="127">
        <f>LOOKUP(G33,103:103,104:104)-LOOKUP(C33,103:103,104:104)+100</f>
        <v>101</v>
      </c>
      <c r="I33" s="380">
        <v>49.68</v>
      </c>
      <c r="J33" s="127">
        <f>LOOKUP(I33,103:103,104:104)-LOOKUP(C33,103:103,104:104)+100</f>
        <v>101</v>
      </c>
      <c r="K33" s="562"/>
      <c r="L33" s="2718"/>
      <c r="M33" s="2720"/>
      <c r="N33" s="2720"/>
      <c r="O33" s="2720"/>
      <c r="P33" s="3704"/>
      <c r="Q33" s="706" t="str">
        <f t="shared" si="11"/>
        <v>项目建筑规模</v>
      </c>
      <c r="R33" s="707" t="s">
        <v>14</v>
      </c>
      <c r="S33" s="708">
        <f t="shared" si="12"/>
        <v>101</v>
      </c>
      <c r="T33" s="707" t="s">
        <v>14</v>
      </c>
      <c r="U33" s="708">
        <f t="shared" si="13"/>
        <v>101</v>
      </c>
      <c r="V33" s="707" t="s">
        <v>14</v>
      </c>
      <c r="W33" s="708">
        <f t="shared" si="14"/>
        <v>101</v>
      </c>
      <c r="X33" s="709"/>
      <c r="Y33" s="3706"/>
      <c r="Z33" s="710" t="str">
        <f t="shared" si="15"/>
        <v>项目建筑规模</v>
      </c>
      <c r="AA33" s="1352">
        <f t="shared" si="3"/>
        <v>0.99009900990099009</v>
      </c>
      <c r="AB33" s="1352">
        <f t="shared" si="4"/>
        <v>0.99009900990099009</v>
      </c>
      <c r="AC33" s="1352">
        <f t="shared" si="5"/>
        <v>0.99009900990099009</v>
      </c>
    </row>
    <row r="34" spans="1:29" ht="15.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04"/>
      <c r="Q34" s="1351" t="str">
        <f t="shared" si="11"/>
        <v>建筑结构</v>
      </c>
      <c r="R34" s="704" t="s">
        <v>14</v>
      </c>
      <c r="S34" s="705">
        <f t="shared" si="12"/>
        <v>101</v>
      </c>
      <c r="T34" s="704" t="s">
        <v>14</v>
      </c>
      <c r="U34" s="705">
        <f t="shared" si="13"/>
        <v>101</v>
      </c>
      <c r="V34" s="704" t="s">
        <v>14</v>
      </c>
      <c r="W34" s="705">
        <f t="shared" si="14"/>
        <v>101</v>
      </c>
      <c r="X34" s="1354"/>
      <c r="Y34" s="3706"/>
      <c r="Z34" s="1355" t="str">
        <f t="shared" si="15"/>
        <v>建筑结构</v>
      </c>
      <c r="AA34" s="1352">
        <f t="shared" si="3"/>
        <v>0.99009900990099009</v>
      </c>
      <c r="AB34" s="1352">
        <f t="shared" si="4"/>
        <v>0.99009900990099009</v>
      </c>
      <c r="AC34" s="1352">
        <f t="shared" si="5"/>
        <v>0.99009900990099009</v>
      </c>
    </row>
    <row r="35" spans="1:29" ht="15.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5">
      <c r="A36" s="423"/>
      <c r="B36" s="375" t="s">
        <v>1786</v>
      </c>
      <c r="C36" s="425">
        <f>'数据-取费表'!N6</f>
        <v>0.83</v>
      </c>
      <c r="D36" s="386">
        <v>100</v>
      </c>
      <c r="E36" s="425">
        <v>0.74</v>
      </c>
      <c r="F36" s="412">
        <f>LOOKUP(E36,110:110,111:111)-LOOKUP(C36,110:110,111:111)+100</f>
        <v>99</v>
      </c>
      <c r="G36" s="425">
        <v>0.8</v>
      </c>
      <c r="H36" s="412">
        <f>LOOKUP(G36,110:110,111:111)-LOOKUP(C36,110:110,111:111)+100</f>
        <v>100</v>
      </c>
      <c r="I36" s="425">
        <v>0.8</v>
      </c>
      <c r="J36" s="386">
        <f>LOOKUP(I36,110:110,111:111)-LOOKUP(C36,110:110,111:111)+100</f>
        <v>100</v>
      </c>
      <c r="K36" s="561">
        <v>1</v>
      </c>
      <c r="L36" s="2719"/>
      <c r="M36" s="2713"/>
      <c r="N36" s="2713"/>
      <c r="O36" s="2713"/>
      <c r="P36" s="3704"/>
      <c r="Q36" s="1351" t="str">
        <f t="shared" si="11"/>
        <v>成新度</v>
      </c>
      <c r="R36" s="704" t="s">
        <v>14</v>
      </c>
      <c r="S36" s="705">
        <f t="shared" si="12"/>
        <v>99</v>
      </c>
      <c r="T36" s="704" t="s">
        <v>14</v>
      </c>
      <c r="U36" s="705">
        <f t="shared" si="13"/>
        <v>100</v>
      </c>
      <c r="V36" s="704" t="s">
        <v>14</v>
      </c>
      <c r="W36" s="705">
        <f t="shared" si="14"/>
        <v>100</v>
      </c>
      <c r="X36" s="1354"/>
      <c r="Y36" s="3706"/>
      <c r="Z36" s="1355" t="str">
        <f t="shared" si="15"/>
        <v>成新度</v>
      </c>
      <c r="AA36" s="1352">
        <f t="shared" si="3"/>
        <v>1.0101010101010102</v>
      </c>
      <c r="AB36" s="1352">
        <f t="shared" si="4"/>
        <v>1</v>
      </c>
      <c r="AC36" s="1352">
        <f t="shared" si="5"/>
        <v>1</v>
      </c>
    </row>
    <row r="37" spans="1:29" s="108" customFormat="1" ht="15.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04" t="s">
        <v>1696</v>
      </c>
      <c r="Q38" s="1351" t="str">
        <f t="shared" si="11"/>
        <v>业态</v>
      </c>
      <c r="R38" s="704" t="s">
        <v>14</v>
      </c>
      <c r="S38" s="705">
        <f t="shared" si="12"/>
        <v>100</v>
      </c>
      <c r="T38" s="704" t="s">
        <v>14</v>
      </c>
      <c r="U38" s="705">
        <f t="shared" si="13"/>
        <v>100</v>
      </c>
      <c r="V38" s="704" t="s">
        <v>14</v>
      </c>
      <c r="W38" s="705">
        <f t="shared" si="14"/>
        <v>100</v>
      </c>
      <c r="X38" s="1354"/>
      <c r="Y38" s="3706" t="s">
        <v>1696</v>
      </c>
      <c r="Z38" s="1355" t="str">
        <f t="shared" si="15"/>
        <v>业态</v>
      </c>
      <c r="AA38" s="1352">
        <f t="shared" si="3"/>
        <v>1</v>
      </c>
      <c r="AB38" s="1352">
        <f t="shared" si="4"/>
        <v>1</v>
      </c>
      <c r="AC38" s="1352">
        <f t="shared" si="5"/>
        <v>1</v>
      </c>
    </row>
    <row r="39" spans="1:29" ht="15.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2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5">
      <c r="A44" s="424"/>
      <c r="B44" s="3463" t="s">
        <v>3476</v>
      </c>
      <c r="C44" s="420">
        <f>'数据-取费表'!N18</f>
        <v>2015</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04"/>
      <c r="Q44" s="1342" t="str">
        <f t="shared" si="11"/>
        <v>建成年代</v>
      </c>
      <c r="R44" s="700" t="s">
        <v>14</v>
      </c>
      <c r="S44" s="701">
        <f t="shared" si="12"/>
        <v>100</v>
      </c>
      <c r="T44" s="700" t="s">
        <v>14</v>
      </c>
      <c r="U44" s="701">
        <f t="shared" si="13"/>
        <v>100</v>
      </c>
      <c r="V44" s="700" t="s">
        <v>14</v>
      </c>
      <c r="W44" s="701">
        <f t="shared" si="14"/>
        <v>100</v>
      </c>
      <c r="X44" s="702"/>
      <c r="Y44" s="3706"/>
      <c r="Z44" s="52" t="str">
        <f t="shared" si="15"/>
        <v>建成年代</v>
      </c>
      <c r="AA44" s="703">
        <f t="shared" si="3"/>
        <v>1</v>
      </c>
      <c r="AB44" s="703">
        <f t="shared" si="4"/>
        <v>1</v>
      </c>
      <c r="AC44" s="703">
        <f t="shared" si="5"/>
        <v>1</v>
      </c>
    </row>
    <row r="45" spans="1:29" ht="15.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c r="A47" s="430" t="s">
        <v>1708</v>
      </c>
      <c r="B47" s="431"/>
      <c r="C47" s="1153" t="s">
        <v>0</v>
      </c>
      <c r="D47" s="1154"/>
      <c r="E47" s="1155">
        <v>33792</v>
      </c>
      <c r="F47" s="1156"/>
      <c r="G47" s="1157">
        <v>31398</v>
      </c>
      <c r="H47" s="1158"/>
      <c r="I47" s="1155">
        <v>31804</v>
      </c>
      <c r="J47" s="1158"/>
      <c r="K47" s="713"/>
      <c r="L47" s="2721"/>
      <c r="M47" s="2722"/>
      <c r="N47" s="2713"/>
      <c r="O47" s="2722"/>
      <c r="P47" s="3694" t="str">
        <f>A47</f>
        <v>成交单价（元/平方米）</v>
      </c>
      <c r="Q47" s="3694"/>
      <c r="R47" s="3728">
        <f>E47</f>
        <v>33792</v>
      </c>
      <c r="S47" s="3728"/>
      <c r="T47" s="3728">
        <f>G47</f>
        <v>31398</v>
      </c>
      <c r="U47" s="3728"/>
      <c r="V47" s="3728">
        <f>I47</f>
        <v>31804</v>
      </c>
      <c r="W47" s="3728"/>
      <c r="X47" s="689"/>
      <c r="Y47" s="711"/>
      <c r="Z47" s="689"/>
      <c r="AA47" s="689"/>
      <c r="AB47" s="689"/>
      <c r="AC47" s="689"/>
    </row>
    <row r="48" spans="1:29" ht="14.5" thickBot="1">
      <c r="A48" s="437" t="s">
        <v>1793</v>
      </c>
      <c r="B48" s="438"/>
      <c r="C48" s="1159">
        <f>R49</f>
        <v>24713</v>
      </c>
      <c r="D48" s="2316" t="s">
        <v>2137</v>
      </c>
      <c r="E48" s="1160">
        <f>R48</f>
        <v>25999</v>
      </c>
      <c r="F48" s="2317"/>
      <c r="G48" s="1159">
        <f>T48</f>
        <v>23916</v>
      </c>
      <c r="H48" s="2317"/>
      <c r="I48" s="1160">
        <f>V48</f>
        <v>24225</v>
      </c>
      <c r="J48" s="2317"/>
      <c r="K48" s="2319">
        <f>F48+H48+J48</f>
        <v>0</v>
      </c>
      <c r="L48" s="2721"/>
      <c r="M48" s="2722"/>
      <c r="N48" s="2713"/>
      <c r="O48" s="2722"/>
      <c r="P48" s="3694" t="str">
        <f>A48</f>
        <v>比较价值（元/平方米）</v>
      </c>
      <c r="Q48" s="3694"/>
      <c r="R48" s="3695">
        <f>IF(F1="售价",ROUND(PRODUCT(R47,AA7:AA46),0),ROUND(PRODUCT(R47,AA7:AA46),1))</f>
        <v>25999</v>
      </c>
      <c r="S48" s="3695"/>
      <c r="T48" s="3695">
        <f>IF(F1="售价",ROUND(PRODUCT(T47,AB7:AB46),0),ROUND(PRODUCT(T47,AB7:AB46),1))</f>
        <v>23916</v>
      </c>
      <c r="U48" s="3695"/>
      <c r="V48" s="3695">
        <f>IF(F1="售价",ROUND(PRODUCT(V47,AC7:AC46),0),ROUND(PRODUCT(V47,AC7:AC46),1))</f>
        <v>24225</v>
      </c>
      <c r="W48" s="3695"/>
      <c r="X48" s="689"/>
      <c r="Y48" s="689"/>
      <c r="Z48" s="689"/>
      <c r="AA48" s="689"/>
      <c r="AB48" s="689"/>
      <c r="AC48" s="689"/>
    </row>
    <row r="49" spans="1:29" ht="14.5" thickBot="1">
      <c r="A49" s="441" t="s">
        <v>1794</v>
      </c>
      <c r="B49" s="442"/>
      <c r="C49" s="1162">
        <f>R49</f>
        <v>24713</v>
      </c>
      <c r="D49" s="1162"/>
      <c r="E49" s="1162"/>
      <c r="F49" s="1162"/>
      <c r="G49" s="1162"/>
      <c r="H49" s="1162"/>
      <c r="I49" s="1162"/>
      <c r="J49" s="1162"/>
      <c r="K49" s="714"/>
      <c r="L49" s="2721"/>
      <c r="M49" s="2722"/>
      <c r="N49" s="2713"/>
      <c r="O49" s="2722"/>
      <c r="P49" s="3765" t="str">
        <f>A49</f>
        <v>估价对象XX用房的比较价值（楼面单价，元/平方米）</v>
      </c>
      <c r="Q49" s="3766"/>
      <c r="R49" s="3767">
        <f>IF(F1="售价",ROUND(IF(D48="简单平均",AVERAGE(R48:V48),R48*F48+T48*H48+V48*J48),0),ROUND(IF(D48="简单平均",AVERAGE(R48:V48),R48*F48+T48*H48+V48*J48),1))</f>
        <v>24713</v>
      </c>
      <c r="S49" s="3767"/>
      <c r="T49" s="3767"/>
      <c r="U49" s="3767"/>
      <c r="V49" s="3767"/>
      <c r="W49" s="3767"/>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0.29974229778068384</v>
      </c>
      <c r="F52" s="449" t="str">
        <f>IF(OR(E52&gt;=0.3,E52&lt;=-0.3),"超过30%","")</f>
        <v/>
      </c>
      <c r="G52" s="448">
        <f>IF(G47&lt;G48,G48/G47-1,G47/G48-1)</f>
        <v>0.31284495735072748</v>
      </c>
      <c r="H52" s="449" t="str">
        <f>IF(OR(G52&gt;=0.3,G52&lt;=-0.3),"超过30%","")</f>
        <v>超过30%</v>
      </c>
      <c r="I52" s="448">
        <f>IF(I47&lt;I48,I48/I47-1,I47/I48-1)</f>
        <v>0.312858617131063</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8.70965044321792E-2</v>
      </c>
      <c r="F53" s="449" t="str">
        <f>IF(OR(E53&gt;=0.2,E53&lt;=-0.2),"超过20%","")</f>
        <v/>
      </c>
      <c r="G53" s="448">
        <f>IF(G48&lt;I48,I48/G48-1,G48/I48-1)</f>
        <v>1.2920220772704383E-2</v>
      </c>
      <c r="H53" s="449" t="str">
        <f>IF(OR(G53&gt;=0.2,G53&lt;=-0.2),"超过20%","")</f>
        <v/>
      </c>
      <c r="I53" s="448">
        <f>IF(I48&lt;E48,E48/I48-1,I48/E48-1)</f>
        <v>7.3230134158926763E-2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4.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4.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4.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4.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4.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4.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4.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4.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4.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4.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4.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4.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4.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4.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4.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4.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4.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4.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4.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4.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4.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4.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4.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4.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28.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148.12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c r="A4" s="355" t="s">
        <v>1769</v>
      </c>
      <c r="B4" s="356"/>
      <c r="C4" s="3711" t="s">
        <v>1770</v>
      </c>
      <c r="D4" s="3712"/>
      <c r="E4" s="3713" t="s">
        <v>1771</v>
      </c>
      <c r="F4" s="3714"/>
      <c r="G4" s="3711" t="s">
        <v>1772</v>
      </c>
      <c r="H4" s="3712"/>
      <c r="I4" s="3711" t="s">
        <v>1773</v>
      </c>
      <c r="J4" s="3712"/>
      <c r="K4" s="559" t="s">
        <v>1774</v>
      </c>
      <c r="L4" s="912"/>
      <c r="M4" s="913"/>
      <c r="N4" s="913"/>
      <c r="O4" s="913"/>
      <c r="P4" s="3769" t="s">
        <v>1775</v>
      </c>
      <c r="Q4" s="3770"/>
      <c r="R4" s="3773" t="s">
        <v>1771</v>
      </c>
      <c r="S4" s="3774"/>
      <c r="T4" s="3773" t="s">
        <v>1772</v>
      </c>
      <c r="U4" s="3774"/>
      <c r="V4" s="3728" t="s">
        <v>1773</v>
      </c>
      <c r="W4" s="3728"/>
      <c r="X4" s="1354"/>
      <c r="Y4" s="3773" t="s">
        <v>1775</v>
      </c>
      <c r="Z4" s="3774"/>
      <c r="AA4" s="3768" t="s">
        <v>1771</v>
      </c>
      <c r="AB4" s="3740" t="s">
        <v>1772</v>
      </c>
      <c r="AC4" s="3768" t="s">
        <v>1773</v>
      </c>
    </row>
    <row r="5" spans="1:29">
      <c r="A5" s="358"/>
      <c r="B5" s="359"/>
      <c r="C5" s="3775" t="s">
        <v>1673</v>
      </c>
      <c r="D5" s="3732"/>
      <c r="E5" s="3776" t="s">
        <v>1674</v>
      </c>
      <c r="F5" s="3743"/>
      <c r="G5" s="3775" t="s">
        <v>1675</v>
      </c>
      <c r="H5" s="3732"/>
      <c r="I5" s="3775" t="s">
        <v>1676</v>
      </c>
      <c r="J5" s="3732"/>
      <c r="K5" s="559"/>
      <c r="L5" s="912"/>
      <c r="M5" s="913"/>
      <c r="N5" s="913"/>
      <c r="O5" s="913"/>
      <c r="P5" s="3771"/>
      <c r="Q5" s="3718"/>
      <c r="R5" s="3723"/>
      <c r="S5" s="3724"/>
      <c r="T5" s="3723"/>
      <c r="U5" s="3724"/>
      <c r="V5" s="3728"/>
      <c r="W5" s="3728"/>
      <c r="X5" s="1354"/>
      <c r="Y5" s="3723"/>
      <c r="Z5" s="3724"/>
      <c r="AA5" s="3740"/>
      <c r="AB5" s="3740"/>
      <c r="AC5" s="3740"/>
    </row>
    <row r="6" spans="1:29" ht="15" thickBot="1">
      <c r="A6" s="360"/>
      <c r="B6" s="361"/>
      <c r="C6" s="3729" t="s">
        <v>1677</v>
      </c>
      <c r="D6" s="3730"/>
      <c r="E6" s="3737" t="s">
        <v>1677</v>
      </c>
      <c r="F6" s="3738"/>
      <c r="G6" s="3729" t="s">
        <v>1677</v>
      </c>
      <c r="H6" s="3730"/>
      <c r="I6" s="3729" t="s">
        <v>1677</v>
      </c>
      <c r="J6" s="3730"/>
      <c r="K6" s="559" t="s">
        <v>1678</v>
      </c>
      <c r="L6" s="912"/>
      <c r="M6" s="913"/>
      <c r="N6" s="913"/>
      <c r="O6" s="913"/>
      <c r="P6" s="3772"/>
      <c r="Q6" s="3720"/>
      <c r="R6" s="3723"/>
      <c r="S6" s="3724"/>
      <c r="T6" s="3725"/>
      <c r="U6" s="3726"/>
      <c r="V6" s="3728"/>
      <c r="W6" s="3728"/>
      <c r="X6" s="1354"/>
      <c r="Y6" s="3725"/>
      <c r="Z6" s="3726"/>
      <c r="AA6" s="3741"/>
      <c r="AB6" s="3741"/>
      <c r="AC6" s="3741"/>
    </row>
    <row r="7" spans="1:29" s="108" customFormat="1" ht="14.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4"/>
      <c r="M7" s="915"/>
      <c r="N7" s="915"/>
      <c r="O7" s="915"/>
      <c r="P7" s="3735" t="s">
        <v>1680</v>
      </c>
      <c r="Q7" s="3736"/>
      <c r="R7" s="700" t="s">
        <v>14</v>
      </c>
      <c r="S7" s="701">
        <f t="shared" ref="S7:S15" si="0">F7</f>
        <v>0</v>
      </c>
      <c r="T7" s="700" t="s">
        <v>14</v>
      </c>
      <c r="U7" s="701">
        <f t="shared" ref="U7:U15" si="1">H7</f>
        <v>0</v>
      </c>
      <c r="V7" s="700" t="s">
        <v>14</v>
      </c>
      <c r="W7" s="701">
        <f t="shared" ref="W7:W15" si="2">J7</f>
        <v>0</v>
      </c>
      <c r="X7" s="702"/>
      <c r="Y7" s="3735" t="s">
        <v>1680</v>
      </c>
      <c r="Z7" s="3734"/>
      <c r="AA7" s="703" t="e">
        <f>D7/F7</f>
        <v>#DIV/0!</v>
      </c>
      <c r="AB7" s="703" t="e">
        <f>D7/H7</f>
        <v>#DIV/0!</v>
      </c>
      <c r="AC7" s="703" t="e">
        <f>D7/J7</f>
        <v>#DIV/0!</v>
      </c>
    </row>
    <row r="8" spans="1:29" s="108" customFormat="1" ht="14.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5" t="s">
        <v>1683</v>
      </c>
      <c r="Q8" s="3734"/>
      <c r="R8" s="700" t="s">
        <v>14</v>
      </c>
      <c r="S8" s="701">
        <f t="shared" si="0"/>
        <v>100</v>
      </c>
      <c r="T8" s="700" t="s">
        <v>14</v>
      </c>
      <c r="U8" s="701">
        <f t="shared" si="1"/>
        <v>100</v>
      </c>
      <c r="V8" s="700" t="s">
        <v>14</v>
      </c>
      <c r="W8" s="701">
        <f t="shared" si="2"/>
        <v>100</v>
      </c>
      <c r="X8" s="702"/>
      <c r="Y8" s="3735" t="s">
        <v>1683</v>
      </c>
      <c r="Z8" s="373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70">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98">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2">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42">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84">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9">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7" t="s">
        <v>1696</v>
      </c>
      <c r="Q29" s="1351" t="str">
        <f t="shared" si="11"/>
        <v>建筑类型</v>
      </c>
      <c r="R29" s="704" t="s">
        <v>14</v>
      </c>
      <c r="S29" s="705">
        <f t="shared" si="12"/>
        <v>100</v>
      </c>
      <c r="T29" s="704" t="s">
        <v>14</v>
      </c>
      <c r="U29" s="705">
        <f t="shared" si="13"/>
        <v>100</v>
      </c>
      <c r="V29" s="704" t="s">
        <v>14</v>
      </c>
      <c r="W29" s="705">
        <f t="shared" si="14"/>
        <v>100</v>
      </c>
      <c r="X29" s="1354"/>
      <c r="Y29" s="3706" t="s">
        <v>1696</v>
      </c>
      <c r="Z29" s="1355" t="str">
        <f t="shared" si="15"/>
        <v>建筑类型</v>
      </c>
      <c r="AA29" s="1352">
        <f t="shared" si="3"/>
        <v>1</v>
      </c>
      <c r="AB29" s="1352">
        <f t="shared" si="4"/>
        <v>1</v>
      </c>
      <c r="AC29" s="1352">
        <f t="shared" si="5"/>
        <v>1</v>
      </c>
    </row>
    <row r="30" spans="1:29" s="422" customFormat="1" ht="15.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1696</v>
      </c>
      <c r="Q35" s="1351" t="str">
        <f t="shared" si="11"/>
        <v>市政基础设施</v>
      </c>
      <c r="R35" s="704" t="s">
        <v>14</v>
      </c>
      <c r="S35" s="705">
        <f t="shared" si="12"/>
        <v>100</v>
      </c>
      <c r="T35" s="704" t="s">
        <v>14</v>
      </c>
      <c r="U35" s="705">
        <f t="shared" si="13"/>
        <v>100</v>
      </c>
      <c r="V35" s="704" t="s">
        <v>14</v>
      </c>
      <c r="W35" s="705">
        <f t="shared" si="14"/>
        <v>100</v>
      </c>
      <c r="X35" s="1354"/>
      <c r="Y35" s="3706" t="s">
        <v>1696</v>
      </c>
      <c r="Z35" s="1355" t="str">
        <f t="shared" si="15"/>
        <v>市政基础设施</v>
      </c>
      <c r="AA35" s="1352">
        <f t="shared" si="3"/>
        <v>1</v>
      </c>
      <c r="AB35" s="1352">
        <f t="shared" si="4"/>
        <v>1</v>
      </c>
      <c r="AC35" s="1352">
        <f t="shared" si="5"/>
        <v>1</v>
      </c>
    </row>
    <row r="36" spans="1:29" ht="15.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c r="A41" s="430" t="s">
        <v>1708</v>
      </c>
      <c r="B41" s="431"/>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4.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4.5" thickBot="1">
      <c r="A43" s="441" t="s">
        <v>1794</v>
      </c>
      <c r="B43" s="442"/>
      <c r="C43" s="1162" t="e">
        <f>R43</f>
        <v>#DIV/0!</v>
      </c>
      <c r="D43" s="1162"/>
      <c r="E43" s="1162"/>
      <c r="F43" s="1162"/>
      <c r="G43" s="1162"/>
      <c r="H43" s="1162"/>
      <c r="I43" s="1162"/>
      <c r="J43" s="1162"/>
      <c r="K43" s="714"/>
      <c r="L43" s="925"/>
      <c r="M43" s="926"/>
      <c r="N43" s="926"/>
      <c r="O43" s="926"/>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5" thickBot="1">
      <c r="A51" s="693" t="s">
        <v>1798</v>
      </c>
      <c r="B51" s="689"/>
      <c r="C51" s="694"/>
      <c r="D51" s="694"/>
      <c r="E51" s="694"/>
      <c r="F51" s="695"/>
      <c r="G51" s="695"/>
      <c r="H51" s="694"/>
      <c r="I51" s="694"/>
      <c r="J51" s="694"/>
      <c r="K51" s="940"/>
      <c r="L51" s="941"/>
      <c r="M51" s="939"/>
      <c r="N51" s="939"/>
      <c r="O51" s="939"/>
      <c r="P51" s="452"/>
      <c r="Q51" s="453"/>
    </row>
    <row r="52" spans="1:17" s="457" customFormat="1">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4.5" thickBot="1">
      <c r="A54" s="464" t="s">
        <v>1716</v>
      </c>
      <c r="B54" s="465"/>
      <c r="C54" s="466"/>
      <c r="D54" s="467"/>
      <c r="E54" s="467"/>
      <c r="F54" s="467"/>
      <c r="G54" s="467"/>
      <c r="H54" s="467"/>
      <c r="I54" s="467"/>
      <c r="J54" s="467"/>
      <c r="K54" s="467"/>
      <c r="L54" s="467"/>
      <c r="M54" s="468"/>
      <c r="N54" s="2767"/>
      <c r="O54" s="2768"/>
      <c r="P54" s="453"/>
      <c r="Q54" s="453"/>
    </row>
    <row r="55" spans="1:17" s="108" customFormat="1">
      <c r="A55" s="470" t="s">
        <v>1681</v>
      </c>
      <c r="B55" s="459"/>
      <c r="C55" s="471" t="s">
        <v>1776</v>
      </c>
      <c r="D55" s="472"/>
      <c r="E55" s="472"/>
      <c r="F55" s="472"/>
      <c r="G55" s="472"/>
      <c r="H55" s="472"/>
      <c r="I55" s="472"/>
      <c r="J55" s="472"/>
      <c r="K55" s="472"/>
      <c r="L55" s="473"/>
      <c r="M55" s="474"/>
      <c r="N55" s="931"/>
      <c r="O55" s="931"/>
      <c r="P55" s="475"/>
      <c r="Q55" s="453"/>
    </row>
    <row r="56" spans="1:17" s="108" customFormat="1" ht="14.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4.5" thickBot="1">
      <c r="A58" s="483"/>
      <c r="B58" s="484"/>
      <c r="C58" s="485">
        <v>100</v>
      </c>
      <c r="D58" s="485"/>
      <c r="E58" s="485"/>
      <c r="F58" s="485"/>
      <c r="G58" s="485"/>
      <c r="H58" s="485"/>
      <c r="I58" s="485"/>
      <c r="J58" s="485"/>
      <c r="K58" s="485"/>
      <c r="L58" s="485"/>
      <c r="M58" s="486"/>
      <c r="N58" s="933"/>
      <c r="O58" s="933"/>
      <c r="P58" s="42"/>
      <c r="Q58" s="453"/>
    </row>
    <row r="59" spans="1:17" ht="28.5" thickTop="1">
      <c r="A59" s="483"/>
      <c r="B59" s="487" t="s">
        <v>1688</v>
      </c>
      <c r="C59" s="532"/>
      <c r="D59" s="532"/>
      <c r="E59" s="532"/>
      <c r="F59" s="532"/>
      <c r="G59" s="532"/>
      <c r="H59" s="532"/>
      <c r="I59" s="532"/>
      <c r="J59" s="532"/>
      <c r="K59" s="533"/>
      <c r="L59" s="534"/>
      <c r="M59" s="535"/>
      <c r="N59" s="932"/>
      <c r="O59" s="932"/>
      <c r="P59" s="42"/>
      <c r="Q59" s="453"/>
    </row>
    <row r="60" spans="1:17" ht="14.5" thickBot="1">
      <c r="A60" s="483"/>
      <c r="B60" s="492"/>
      <c r="C60" s="485"/>
      <c r="D60" s="485"/>
      <c r="E60" s="485"/>
      <c r="F60" s="485"/>
      <c r="G60" s="485"/>
      <c r="H60" s="485"/>
      <c r="I60" s="485"/>
      <c r="J60" s="485"/>
      <c r="K60" s="485"/>
      <c r="L60" s="485"/>
      <c r="M60" s="486"/>
      <c r="N60" s="933"/>
      <c r="O60" s="933"/>
      <c r="P60" s="42"/>
      <c r="Q60" s="453"/>
    </row>
    <row r="61" spans="1:17" ht="14.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5" thickTop="1">
      <c r="A64" s="502"/>
      <c r="B64" s="487">
        <f>B12</f>
        <v>111</v>
      </c>
      <c r="C64" s="503"/>
      <c r="D64" s="503"/>
      <c r="E64" s="503"/>
      <c r="F64" s="503"/>
      <c r="G64" s="503"/>
      <c r="H64" s="504"/>
      <c r="I64" s="504"/>
      <c r="J64" s="504"/>
      <c r="K64" s="504"/>
      <c r="L64" s="505"/>
      <c r="M64" s="506"/>
      <c r="N64" s="934"/>
      <c r="O64" s="934"/>
      <c r="P64" s="507"/>
      <c r="Q64" s="508"/>
    </row>
    <row r="65" spans="1:17" s="422" customFormat="1" ht="14.5" thickBot="1">
      <c r="A65" s="502"/>
      <c r="B65" s="492"/>
      <c r="C65" s="509"/>
      <c r="D65" s="485"/>
      <c r="E65" s="485"/>
      <c r="F65" s="485"/>
      <c r="G65" s="485"/>
      <c r="H65" s="485"/>
      <c r="I65" s="485"/>
      <c r="J65" s="485"/>
      <c r="K65" s="485"/>
      <c r="L65" s="485"/>
      <c r="M65" s="486"/>
      <c r="N65" s="933"/>
      <c r="O65" s="933"/>
      <c r="P65" s="507"/>
      <c r="Q65" s="508"/>
    </row>
    <row r="66" spans="1:17" s="422" customFormat="1" ht="14.5" thickTop="1">
      <c r="A66" s="502"/>
      <c r="B66" s="487">
        <f>B13</f>
        <v>111</v>
      </c>
      <c r="C66" s="503"/>
      <c r="D66" s="503"/>
      <c r="E66" s="503"/>
      <c r="F66" s="503"/>
      <c r="G66" s="503"/>
      <c r="H66" s="504"/>
      <c r="I66" s="504"/>
      <c r="J66" s="504"/>
      <c r="K66" s="504"/>
      <c r="L66" s="505"/>
      <c r="M66" s="506"/>
      <c r="N66" s="934"/>
      <c r="O66" s="934"/>
      <c r="P66" s="421"/>
      <c r="Q66" s="510"/>
    </row>
    <row r="67" spans="1:17" s="422" customFormat="1" ht="14.5" thickBot="1">
      <c r="A67" s="502"/>
      <c r="B67" s="492"/>
      <c r="C67" s="509"/>
      <c r="D67" s="485"/>
      <c r="E67" s="485"/>
      <c r="F67" s="485"/>
      <c r="G67" s="509"/>
      <c r="H67" s="511"/>
      <c r="I67" s="511"/>
      <c r="J67" s="511"/>
      <c r="K67" s="511"/>
      <c r="L67" s="511"/>
      <c r="M67" s="512"/>
      <c r="N67" s="934"/>
      <c r="O67" s="934"/>
      <c r="P67" s="507"/>
      <c r="Q67" s="508"/>
    </row>
    <row r="68" spans="1:17" s="422" customFormat="1" ht="14.5" thickTop="1">
      <c r="A68" s="502"/>
      <c r="B68" s="495">
        <f>B14</f>
        <v>111</v>
      </c>
      <c r="C68" s="472"/>
      <c r="D68" s="472"/>
      <c r="E68" s="472"/>
      <c r="F68" s="472"/>
      <c r="G68" s="472"/>
      <c r="H68" s="513"/>
      <c r="I68" s="513"/>
      <c r="J68" s="513"/>
      <c r="K68" s="513"/>
      <c r="L68" s="514"/>
      <c r="M68" s="515"/>
      <c r="N68" s="934"/>
      <c r="O68" s="934"/>
      <c r="P68" s="516"/>
      <c r="Q68" s="508"/>
    </row>
    <row r="69" spans="1:17" s="422" customFormat="1" ht="14.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4.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4.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4.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4.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4.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4.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4.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4.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4.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5" thickTop="1">
      <c r="A80" s="528"/>
      <c r="B80" s="487">
        <f>B25</f>
        <v>111</v>
      </c>
      <c r="C80" s="503"/>
      <c r="D80" s="503"/>
      <c r="E80" s="503"/>
      <c r="F80" s="503"/>
      <c r="G80" s="503"/>
      <c r="H80" s="503"/>
      <c r="I80" s="503"/>
      <c r="J80" s="503"/>
      <c r="K80" s="503"/>
      <c r="L80" s="529"/>
      <c r="M80" s="530"/>
      <c r="N80" s="931"/>
      <c r="O80" s="931"/>
      <c r="P80" s="42"/>
      <c r="Q80" s="453"/>
    </row>
    <row r="81" spans="1:17" s="108" customFormat="1" ht="14.5" thickBot="1">
      <c r="A81" s="528"/>
      <c r="B81" s="492"/>
      <c r="C81" s="509"/>
      <c r="D81" s="485"/>
      <c r="E81" s="485"/>
      <c r="F81" s="485"/>
      <c r="G81" s="485"/>
      <c r="H81" s="485"/>
      <c r="I81" s="485"/>
      <c r="J81" s="485"/>
      <c r="K81" s="485"/>
      <c r="L81" s="485"/>
      <c r="M81" s="486"/>
      <c r="N81" s="933"/>
      <c r="O81" s="933"/>
      <c r="P81" s="42"/>
      <c r="Q81" s="453"/>
    </row>
    <row r="82" spans="1:17" s="108" customFormat="1" ht="14.5" thickTop="1">
      <c r="A82" s="528"/>
      <c r="B82" s="487">
        <f>B26</f>
        <v>111</v>
      </c>
      <c r="C82" s="503"/>
      <c r="D82" s="503"/>
      <c r="E82" s="503"/>
      <c r="F82" s="503"/>
      <c r="G82" s="503"/>
      <c r="H82" s="503"/>
      <c r="I82" s="503"/>
      <c r="J82" s="503"/>
      <c r="K82" s="503"/>
      <c r="L82" s="529"/>
      <c r="M82" s="530"/>
      <c r="N82" s="931"/>
      <c r="O82" s="931"/>
      <c r="P82" s="42"/>
      <c r="Q82" s="453"/>
    </row>
    <row r="83" spans="1:17" s="108" customFormat="1" ht="14.5" thickBot="1">
      <c r="A83" s="528"/>
      <c r="B83" s="492"/>
      <c r="C83" s="509"/>
      <c r="D83" s="485"/>
      <c r="E83" s="485"/>
      <c r="F83" s="485"/>
      <c r="G83" s="485"/>
      <c r="H83" s="485"/>
      <c r="I83" s="485"/>
      <c r="J83" s="485"/>
      <c r="K83" s="485"/>
      <c r="L83" s="485"/>
      <c r="M83" s="486"/>
      <c r="N83" s="933"/>
      <c r="O83" s="933"/>
      <c r="P83" s="42"/>
      <c r="Q83" s="453"/>
    </row>
    <row r="84" spans="1:17" s="422" customFormat="1" ht="14.5" thickTop="1">
      <c r="A84" s="502"/>
      <c r="B84" s="487">
        <f>B27</f>
        <v>111</v>
      </c>
      <c r="C84" s="503"/>
      <c r="D84" s="503"/>
      <c r="E84" s="503"/>
      <c r="F84" s="503"/>
      <c r="G84" s="503"/>
      <c r="H84" s="503"/>
      <c r="I84" s="503"/>
      <c r="J84" s="503"/>
      <c r="K84" s="503"/>
      <c r="L84" s="529"/>
      <c r="M84" s="530"/>
      <c r="N84" s="934"/>
      <c r="O84" s="934"/>
      <c r="P84" s="507"/>
      <c r="Q84" s="508"/>
    </row>
    <row r="85" spans="1:17" s="422" customFormat="1" ht="14.5" thickBot="1">
      <c r="A85" s="502"/>
      <c r="B85" s="492"/>
      <c r="C85" s="509"/>
      <c r="D85" s="485"/>
      <c r="E85" s="485"/>
      <c r="F85" s="485"/>
      <c r="G85" s="485"/>
      <c r="H85" s="485"/>
      <c r="I85" s="485"/>
      <c r="J85" s="485"/>
      <c r="K85" s="485"/>
      <c r="L85" s="485"/>
      <c r="M85" s="486"/>
      <c r="N85" s="934"/>
      <c r="O85" s="934"/>
      <c r="P85" s="507"/>
      <c r="Q85" s="508"/>
    </row>
    <row r="86" spans="1:17" ht="14.5" thickTop="1">
      <c r="A86" s="483"/>
      <c r="B86" s="495">
        <f>B28</f>
        <v>111</v>
      </c>
      <c r="C86" s="472"/>
      <c r="D86" s="472"/>
      <c r="E86" s="472"/>
      <c r="F86" s="472"/>
      <c r="G86" s="536"/>
      <c r="H86" s="536"/>
      <c r="I86" s="536"/>
      <c r="J86" s="536"/>
      <c r="K86" s="537"/>
      <c r="L86" s="538"/>
      <c r="M86" s="539"/>
      <c r="N86" s="932"/>
      <c r="O86" s="932"/>
      <c r="P86" s="42"/>
      <c r="Q86" s="453"/>
    </row>
    <row r="87" spans="1:17" ht="14.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4.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4.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5" thickBot="1">
      <c r="A92" s="502"/>
      <c r="B92" s="492"/>
      <c r="C92" s="509"/>
      <c r="D92" s="485"/>
      <c r="E92" s="485"/>
      <c r="F92" s="485"/>
      <c r="G92" s="485"/>
      <c r="H92" s="485"/>
      <c r="I92" s="485"/>
      <c r="J92" s="485"/>
      <c r="K92" s="485"/>
      <c r="L92" s="485"/>
      <c r="M92" s="486"/>
      <c r="N92" s="933"/>
      <c r="O92" s="933"/>
      <c r="P92" s="507"/>
      <c r="Q92" s="508"/>
    </row>
    <row r="93" spans="1:17" ht="14.5" thickTop="1">
      <c r="A93" s="548"/>
      <c r="B93" s="487" t="s">
        <v>1738</v>
      </c>
      <c r="C93" s="503"/>
      <c r="D93" s="503"/>
      <c r="E93" s="532"/>
      <c r="F93" s="532"/>
      <c r="G93" s="532"/>
      <c r="H93" s="532"/>
      <c r="I93" s="532"/>
      <c r="J93" s="532"/>
      <c r="K93" s="533"/>
      <c r="L93" s="534"/>
      <c r="M93" s="535"/>
      <c r="N93" s="932"/>
      <c r="O93" s="932"/>
      <c r="P93" s="42"/>
      <c r="Q93" s="453"/>
    </row>
    <row r="94" spans="1:17" ht="14.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4.5" thickTop="1">
      <c r="A95" s="548"/>
      <c r="B95" s="487" t="s">
        <v>1740</v>
      </c>
      <c r="C95" s="503"/>
      <c r="D95" s="503"/>
      <c r="E95" s="503"/>
      <c r="F95" s="532"/>
      <c r="G95" s="532"/>
      <c r="H95" s="532"/>
      <c r="I95" s="532"/>
      <c r="J95" s="532"/>
      <c r="K95" s="533"/>
      <c r="L95" s="534"/>
      <c r="M95" s="535"/>
      <c r="N95" s="932"/>
      <c r="O95" s="932"/>
      <c r="P95" s="42"/>
      <c r="Q95" s="453"/>
    </row>
    <row r="96" spans="1:17" ht="14.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4.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4.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4.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4.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4.5" thickTop="1">
      <c r="A102" s="548"/>
      <c r="B102" s="487" t="s">
        <v>1742</v>
      </c>
      <c r="C102" s="503"/>
      <c r="D102" s="503"/>
      <c r="E102" s="503"/>
      <c r="F102" s="503"/>
      <c r="G102" s="503"/>
      <c r="H102" s="532"/>
      <c r="I102" s="532"/>
      <c r="J102" s="532"/>
      <c r="K102" s="533"/>
      <c r="L102" s="534"/>
      <c r="M102" s="535"/>
      <c r="N102" s="932"/>
      <c r="O102" s="932"/>
      <c r="P102" s="42"/>
      <c r="Q102" s="453"/>
    </row>
    <row r="103" spans="1:17" ht="14.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4.5" thickTop="1">
      <c r="A104" s="548"/>
      <c r="B104" s="487" t="s">
        <v>1744</v>
      </c>
      <c r="C104" s="503"/>
      <c r="D104" s="503"/>
      <c r="E104" s="503"/>
      <c r="F104" s="503"/>
      <c r="G104" s="503"/>
      <c r="H104" s="532"/>
      <c r="I104" s="532"/>
      <c r="J104" s="532"/>
      <c r="K104" s="533"/>
      <c r="L104" s="534"/>
      <c r="M104" s="535"/>
      <c r="N104" s="932"/>
      <c r="O104" s="932"/>
      <c r="P104" s="42"/>
      <c r="Q104" s="453"/>
    </row>
    <row r="105" spans="1:17" ht="14.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8.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4.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5" thickBot="1">
      <c r="A109" s="502"/>
      <c r="B109" s="484"/>
      <c r="C109" s="509"/>
      <c r="D109" s="485"/>
      <c r="E109" s="485"/>
      <c r="F109" s="485"/>
      <c r="G109" s="509"/>
      <c r="H109" s="511"/>
      <c r="I109" s="511"/>
      <c r="J109" s="511"/>
      <c r="K109" s="511"/>
      <c r="L109" s="511"/>
      <c r="M109" s="512"/>
      <c r="N109" s="934"/>
      <c r="O109" s="934"/>
      <c r="P109" s="507"/>
      <c r="Q109" s="508"/>
    </row>
    <row r="110" spans="1:17" ht="14.5" thickTop="1">
      <c r="A110" s="548"/>
      <c r="B110" s="487">
        <f>B39</f>
        <v>111</v>
      </c>
      <c r="C110" s="503"/>
      <c r="D110" s="503"/>
      <c r="E110" s="503"/>
      <c r="F110" s="503"/>
      <c r="G110" s="503"/>
      <c r="H110" s="504"/>
      <c r="I110" s="504"/>
      <c r="J110" s="504"/>
      <c r="K110" s="504"/>
      <c r="L110" s="505"/>
      <c r="M110" s="506"/>
      <c r="N110" s="932"/>
      <c r="O110" s="932"/>
      <c r="P110" s="42"/>
      <c r="Q110" s="453"/>
    </row>
    <row r="111" spans="1:17" ht="14.5" thickBot="1">
      <c r="A111" s="483"/>
      <c r="B111" s="492"/>
      <c r="C111" s="509"/>
      <c r="D111" s="485"/>
      <c r="E111" s="485"/>
      <c r="F111" s="485"/>
      <c r="G111" s="509"/>
      <c r="H111" s="511"/>
      <c r="I111" s="511"/>
      <c r="J111" s="511"/>
      <c r="K111" s="511"/>
      <c r="L111" s="511"/>
      <c r="M111" s="512"/>
      <c r="N111" s="933"/>
      <c r="O111" s="933"/>
      <c r="P111" s="42"/>
      <c r="Q111" s="453"/>
    </row>
    <row r="112" spans="1:17" ht="14.5" thickTop="1">
      <c r="A112" s="548"/>
      <c r="B112" s="495">
        <f>B40</f>
        <v>111</v>
      </c>
      <c r="C112" s="472"/>
      <c r="D112" s="472"/>
      <c r="E112" s="472"/>
      <c r="F112" s="472"/>
      <c r="G112" s="536"/>
      <c r="H112" s="536"/>
      <c r="I112" s="536"/>
      <c r="J112" s="536"/>
      <c r="K112" s="472"/>
      <c r="L112" s="473"/>
      <c r="M112" s="539"/>
      <c r="N112" s="932"/>
      <c r="O112" s="932"/>
      <c r="P112" s="42"/>
      <c r="Q112" s="453"/>
    </row>
    <row r="113" spans="1:17" ht="14.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5.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c r="A4" s="355" t="s">
        <v>1769</v>
      </c>
      <c r="B4" s="356"/>
      <c r="C4" s="3711" t="s">
        <v>1770</v>
      </c>
      <c r="D4" s="3712"/>
      <c r="E4" s="3713" t="s">
        <v>1771</v>
      </c>
      <c r="F4" s="3714"/>
      <c r="G4" s="3711" t="s">
        <v>1772</v>
      </c>
      <c r="H4" s="3712"/>
      <c r="I4" s="3711" t="s">
        <v>1773</v>
      </c>
      <c r="J4" s="3712"/>
      <c r="K4" s="559" t="s">
        <v>1774</v>
      </c>
      <c r="L4" s="2712"/>
      <c r="M4" s="2713"/>
      <c r="N4" s="2713"/>
      <c r="O4" s="2713"/>
      <c r="P4" s="3769" t="s">
        <v>1775</v>
      </c>
      <c r="Q4" s="3770"/>
      <c r="R4" s="3773" t="s">
        <v>1771</v>
      </c>
      <c r="S4" s="3774"/>
      <c r="T4" s="3773" t="s">
        <v>1772</v>
      </c>
      <c r="U4" s="3774"/>
      <c r="V4" s="3728" t="s">
        <v>1773</v>
      </c>
      <c r="W4" s="3728"/>
      <c r="X4" s="1354"/>
      <c r="Y4" s="3773" t="s">
        <v>1775</v>
      </c>
      <c r="Z4" s="3774"/>
      <c r="AA4" s="3768" t="s">
        <v>1771</v>
      </c>
      <c r="AB4" s="3740" t="s">
        <v>1772</v>
      </c>
      <c r="AC4" s="3768" t="s">
        <v>1773</v>
      </c>
    </row>
    <row r="5" spans="1:29">
      <c r="A5" s="358"/>
      <c r="B5" s="359"/>
      <c r="C5" s="3775" t="s">
        <v>1673</v>
      </c>
      <c r="D5" s="3732"/>
      <c r="E5" s="3776" t="s">
        <v>1674</v>
      </c>
      <c r="F5" s="3743"/>
      <c r="G5" s="3775" t="s">
        <v>1675</v>
      </c>
      <c r="H5" s="3732"/>
      <c r="I5" s="3775" t="s">
        <v>1676</v>
      </c>
      <c r="J5" s="3732"/>
      <c r="K5" s="559"/>
      <c r="L5" s="2712"/>
      <c r="M5" s="2713"/>
      <c r="N5" s="2713"/>
      <c r="O5" s="2713"/>
      <c r="P5" s="3771"/>
      <c r="Q5" s="3718"/>
      <c r="R5" s="3723"/>
      <c r="S5" s="3724"/>
      <c r="T5" s="3723"/>
      <c r="U5" s="3724"/>
      <c r="V5" s="3728"/>
      <c r="W5" s="3728"/>
      <c r="X5" s="1354"/>
      <c r="Y5" s="3723"/>
      <c r="Z5" s="3724"/>
      <c r="AA5" s="3740"/>
      <c r="AB5" s="3740"/>
      <c r="AC5" s="3740"/>
    </row>
    <row r="6" spans="1:29" ht="15" thickBot="1">
      <c r="A6" s="360"/>
      <c r="B6" s="361"/>
      <c r="C6" s="3729" t="s">
        <v>1677</v>
      </c>
      <c r="D6" s="3730"/>
      <c r="E6" s="3737" t="s">
        <v>1677</v>
      </c>
      <c r="F6" s="3738"/>
      <c r="G6" s="3729" t="s">
        <v>1677</v>
      </c>
      <c r="H6" s="3730"/>
      <c r="I6" s="3729" t="s">
        <v>1677</v>
      </c>
      <c r="J6" s="3730"/>
      <c r="K6" s="559" t="s">
        <v>1678</v>
      </c>
      <c r="L6" s="2712"/>
      <c r="M6" s="2713"/>
      <c r="N6" s="2713"/>
      <c r="O6" s="2713"/>
      <c r="P6" s="3772"/>
      <c r="Q6" s="3720"/>
      <c r="R6" s="3723"/>
      <c r="S6" s="3724"/>
      <c r="T6" s="3725"/>
      <c r="U6" s="3726"/>
      <c r="V6" s="3728"/>
      <c r="W6" s="3728"/>
      <c r="X6" s="1354"/>
      <c r="Y6" s="3725"/>
      <c r="Z6" s="3726"/>
      <c r="AA6" s="3741"/>
      <c r="AB6" s="3741"/>
      <c r="AC6" s="3741"/>
    </row>
    <row r="7" spans="1:29" s="108" customFormat="1" ht="14.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5" t="s">
        <v>1680</v>
      </c>
      <c r="Q7" s="3736"/>
      <c r="R7" s="700" t="s">
        <v>14</v>
      </c>
      <c r="S7" s="701">
        <f t="shared" ref="S7:S14" si="0">F7</f>
        <v>0</v>
      </c>
      <c r="T7" s="700" t="s">
        <v>14</v>
      </c>
      <c r="U7" s="701">
        <f t="shared" ref="U7:U14" si="1">H7</f>
        <v>0</v>
      </c>
      <c r="V7" s="700" t="s">
        <v>14</v>
      </c>
      <c r="W7" s="701">
        <f t="shared" ref="W7:W14" si="2">J7</f>
        <v>0</v>
      </c>
      <c r="X7" s="702"/>
      <c r="Y7" s="3735" t="s">
        <v>1680</v>
      </c>
      <c r="Z7" s="3734"/>
      <c r="AA7" s="703" t="e">
        <f>D7/F7</f>
        <v>#DIV/0!</v>
      </c>
      <c r="AB7" s="703" t="e">
        <f>D7/H7</f>
        <v>#DIV/0!</v>
      </c>
      <c r="AC7" s="703" t="e">
        <f>D7/J7</f>
        <v>#DIV/0!</v>
      </c>
    </row>
    <row r="8" spans="1:29" s="108" customFormat="1" ht="14.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5" t="s">
        <v>1683</v>
      </c>
      <c r="Q8" s="3734"/>
      <c r="R8" s="700" t="s">
        <v>14</v>
      </c>
      <c r="S8" s="701">
        <f t="shared" si="0"/>
        <v>100</v>
      </c>
      <c r="T8" s="700" t="s">
        <v>14</v>
      </c>
      <c r="U8" s="701">
        <f t="shared" si="1"/>
        <v>100</v>
      </c>
      <c r="V8" s="700" t="s">
        <v>14</v>
      </c>
      <c r="W8" s="701">
        <f t="shared" si="2"/>
        <v>100</v>
      </c>
      <c r="X8" s="702"/>
      <c r="Y8" s="3735" t="s">
        <v>1683</v>
      </c>
      <c r="Z8" s="373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1686</v>
      </c>
      <c r="Q9" s="1342" t="str">
        <f t="shared" ref="Q9:Q14" si="6">B9</f>
        <v>用途</v>
      </c>
      <c r="R9" s="700" t="s">
        <v>14</v>
      </c>
      <c r="S9" s="701">
        <f t="shared" si="0"/>
        <v>100</v>
      </c>
      <c r="T9" s="700" t="s">
        <v>14</v>
      </c>
      <c r="U9" s="701">
        <f t="shared" si="1"/>
        <v>100</v>
      </c>
      <c r="V9" s="700" t="s">
        <v>14</v>
      </c>
      <c r="W9" s="701">
        <f t="shared" si="2"/>
        <v>100</v>
      </c>
      <c r="X9" s="702"/>
      <c r="Y9" s="3573" t="s">
        <v>1687</v>
      </c>
      <c r="Z9" s="52" t="str">
        <f t="shared" ref="Z9:Z14" si="7">Q9</f>
        <v>用途</v>
      </c>
      <c r="AA9" s="703">
        <f t="shared" si="3"/>
        <v>1</v>
      </c>
      <c r="AB9" s="703">
        <f t="shared" si="4"/>
        <v>1</v>
      </c>
      <c r="AC9" s="703">
        <f t="shared" si="5"/>
        <v>1</v>
      </c>
    </row>
    <row r="10" spans="1:29" s="378" customFormat="1" ht="2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98">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5">
      <c r="A15" s="358"/>
      <c r="B15" s="595"/>
      <c r="C15" s="398"/>
      <c r="D15" s="399"/>
      <c r="E15" s="398"/>
      <c r="F15" s="400"/>
      <c r="G15" s="398"/>
      <c r="H15" s="401"/>
      <c r="I15" s="398"/>
      <c r="J15" s="399"/>
      <c r="K15" s="564"/>
      <c r="L15" s="2719"/>
      <c r="M15" s="2713"/>
      <c r="N15" s="2713"/>
      <c r="O15" s="2713"/>
      <c r="P15" s="3702"/>
      <c r="Q15" s="1351"/>
      <c r="R15" s="704"/>
      <c r="S15" s="705"/>
      <c r="T15" s="704"/>
      <c r="U15" s="705"/>
      <c r="V15" s="704"/>
      <c r="W15" s="705"/>
      <c r="X15" s="1354"/>
      <c r="Y15" s="3702"/>
      <c r="Z15" s="1355"/>
      <c r="AA15" s="1352">
        <v>1</v>
      </c>
      <c r="AB15" s="1352">
        <v>1</v>
      </c>
      <c r="AC15" s="1352">
        <v>1</v>
      </c>
    </row>
    <row r="16" spans="1:29" ht="42">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5">
      <c r="A17" s="358"/>
      <c r="B17" s="580"/>
      <c r="C17" s="1900"/>
      <c r="D17" s="399"/>
      <c r="E17" s="398"/>
      <c r="F17" s="400"/>
      <c r="G17" s="398"/>
      <c r="H17" s="399"/>
      <c r="I17" s="398"/>
      <c r="J17" s="399"/>
      <c r="K17" s="564"/>
      <c r="L17" s="2719"/>
      <c r="M17" s="2713"/>
      <c r="N17" s="2713"/>
      <c r="O17" s="2713"/>
      <c r="P17" s="3702"/>
      <c r="Q17" s="1351"/>
      <c r="R17" s="704"/>
      <c r="S17" s="705"/>
      <c r="T17" s="704"/>
      <c r="U17" s="705"/>
      <c r="V17" s="704"/>
      <c r="W17" s="705"/>
      <c r="X17" s="1354"/>
      <c r="Y17" s="3702"/>
      <c r="Z17" s="1355"/>
      <c r="AA17" s="1352">
        <v>1</v>
      </c>
      <c r="AB17" s="1352">
        <v>1</v>
      </c>
      <c r="AC17" s="1352">
        <v>1</v>
      </c>
    </row>
    <row r="18" spans="1:29" ht="42">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5">
      <c r="A19" s="358"/>
      <c r="B19" s="581"/>
      <c r="C19" s="1900"/>
      <c r="D19" s="401"/>
      <c r="E19" s="1900"/>
      <c r="F19" s="404"/>
      <c r="G19" s="1900"/>
      <c r="H19" s="399"/>
      <c r="I19" s="398"/>
      <c r="J19" s="399"/>
      <c r="K19" s="1129"/>
      <c r="L19" s="2719"/>
      <c r="M19" s="2713"/>
      <c r="N19" s="2713"/>
      <c r="O19" s="2713"/>
      <c r="P19" s="3702"/>
      <c r="Q19" s="1351"/>
      <c r="R19" s="704"/>
      <c r="S19" s="705"/>
      <c r="T19" s="704"/>
      <c r="U19" s="705"/>
      <c r="V19" s="704"/>
      <c r="W19" s="705"/>
      <c r="X19" s="1354"/>
      <c r="Y19" s="3702"/>
      <c r="Z19" s="1355"/>
      <c r="AA19" s="1352">
        <v>1</v>
      </c>
      <c r="AB19" s="1352">
        <v>1</v>
      </c>
      <c r="AC19" s="1352">
        <v>1</v>
      </c>
    </row>
    <row r="20" spans="1:29" ht="56">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5">
      <c r="A21" s="358"/>
      <c r="B21" s="580"/>
      <c r="C21" s="398"/>
      <c r="D21" s="399"/>
      <c r="E21" s="398"/>
      <c r="F21" s="400"/>
      <c r="G21" s="398"/>
      <c r="H21" s="399"/>
      <c r="I21" s="398"/>
      <c r="J21" s="399"/>
      <c r="K21" s="564"/>
      <c r="L21" s="2719"/>
      <c r="M21" s="2713"/>
      <c r="N21" s="2713"/>
      <c r="O21" s="2713"/>
      <c r="P21" s="3702"/>
      <c r="Q21" s="1351"/>
      <c r="R21" s="704"/>
      <c r="S21" s="705"/>
      <c r="T21" s="704"/>
      <c r="U21" s="705"/>
      <c r="V21" s="704"/>
      <c r="W21" s="705"/>
      <c r="X21" s="1354"/>
      <c r="Y21" s="3702"/>
      <c r="Z21" s="1355"/>
      <c r="AA21" s="1352">
        <v>1</v>
      </c>
      <c r="AB21" s="1352">
        <v>1</v>
      </c>
      <c r="AC21" s="1352">
        <v>1</v>
      </c>
    </row>
    <row r="22" spans="1:29" ht="15.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9">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6" t="s">
        <v>1696</v>
      </c>
      <c r="Q32" s="1351" t="str">
        <f t="shared" si="11"/>
        <v>车位类型</v>
      </c>
      <c r="R32" s="704" t="s">
        <v>14</v>
      </c>
      <c r="S32" s="705">
        <f t="shared" si="12"/>
        <v>100</v>
      </c>
      <c r="T32" s="704" t="s">
        <v>14</v>
      </c>
      <c r="U32" s="705">
        <f t="shared" si="13"/>
        <v>100</v>
      </c>
      <c r="V32" s="704" t="s">
        <v>14</v>
      </c>
      <c r="W32" s="705">
        <f t="shared" si="14"/>
        <v>100</v>
      </c>
      <c r="X32" s="1354"/>
      <c r="Y32" s="3706" t="s">
        <v>1696</v>
      </c>
      <c r="Z32" s="1355" t="str">
        <f t="shared" si="15"/>
        <v>车位类型</v>
      </c>
      <c r="AA32" s="1352">
        <f t="shared" si="3"/>
        <v>1</v>
      </c>
      <c r="AB32" s="1352">
        <f t="shared" si="4"/>
        <v>1</v>
      </c>
      <c r="AC32" s="1352">
        <f t="shared" si="5"/>
        <v>1</v>
      </c>
    </row>
    <row r="33" spans="1:29" ht="15.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c r="A37" s="430" t="s">
        <v>1844</v>
      </c>
      <c r="B37" s="1972" t="s">
        <v>3351</v>
      </c>
      <c r="C37" s="1153" t="s">
        <v>0</v>
      </c>
      <c r="D37" s="1154"/>
      <c r="E37" s="1155"/>
      <c r="F37" s="1156"/>
      <c r="G37" s="1157"/>
      <c r="H37" s="1158"/>
      <c r="I37" s="1155"/>
      <c r="J37" s="1158"/>
      <c r="K37" s="568"/>
      <c r="L37" s="2721"/>
      <c r="M37" s="2722"/>
      <c r="N37" s="2713"/>
      <c r="O37" s="2722"/>
      <c r="P37" s="3694" t="str">
        <f>A37</f>
        <v>成交单价</v>
      </c>
      <c r="Q37" s="3694"/>
      <c r="R37" s="3695">
        <f>E37</f>
        <v>0</v>
      </c>
      <c r="S37" s="3695"/>
      <c r="T37" s="3695">
        <f>G37</f>
        <v>0</v>
      </c>
      <c r="U37" s="3695"/>
      <c r="V37" s="3695">
        <f>I37</f>
        <v>0</v>
      </c>
      <c r="W37" s="3695"/>
      <c r="X37" s="689"/>
      <c r="Y37" s="711"/>
      <c r="Z37" s="689"/>
      <c r="AA37" s="689"/>
      <c r="AB37" s="689"/>
      <c r="AC37" s="689"/>
    </row>
    <row r="38" spans="1:29" ht="14.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4.5" thickBot="1">
      <c r="A39" s="441" t="s">
        <v>1846</v>
      </c>
      <c r="B39" s="442"/>
      <c r="C39" s="1162" t="e">
        <f>R39</f>
        <v>#DIV/0!</v>
      </c>
      <c r="D39" s="1162"/>
      <c r="E39" s="1162"/>
      <c r="F39" s="1162"/>
      <c r="G39" s="1162"/>
      <c r="H39" s="1162"/>
      <c r="I39" s="1162"/>
      <c r="J39" s="1162"/>
      <c r="K39" s="569"/>
      <c r="L39" s="2721"/>
      <c r="M39" s="2722"/>
      <c r="N39" s="2722"/>
      <c r="O39" s="2722"/>
      <c r="P39" s="3765" t="str">
        <f>A39</f>
        <v>估价对象XX用房的比较价值（楼面单价，元/平方米）</v>
      </c>
      <c r="Q39" s="3766"/>
      <c r="R39" s="3778" t="e">
        <f>IF(F1="售价",ROUND(IF(D38="简单平均",AVERAGE(R38:W38),R38*F38+T38*H38+V38*J38),0),ROUND(IF(D38="简单平均",AVERAGE(R38:V38),R38*F38+T38*H38+V38*J38),1))</f>
        <v>#DIV/0!</v>
      </c>
      <c r="S39" s="3778"/>
      <c r="T39" s="3778"/>
      <c r="U39" s="3778"/>
      <c r="V39" s="3778"/>
      <c r="W39" s="377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4.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4.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8.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4.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4.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4.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4.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4.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4.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4.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4.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4.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4.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8.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4.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4.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4.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4.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4.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4.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4.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c r="A4" s="355" t="s">
        <v>1769</v>
      </c>
      <c r="B4" s="356"/>
      <c r="C4" s="3711" t="s">
        <v>1770</v>
      </c>
      <c r="D4" s="3712"/>
      <c r="E4" s="3713" t="s">
        <v>1771</v>
      </c>
      <c r="F4" s="3714"/>
      <c r="G4" s="3711" t="s">
        <v>1772</v>
      </c>
      <c r="H4" s="3712"/>
      <c r="I4" s="3711" t="s">
        <v>1773</v>
      </c>
      <c r="J4" s="3712"/>
      <c r="K4" s="559" t="s">
        <v>1774</v>
      </c>
      <c r="L4" s="2712"/>
      <c r="M4" s="2713"/>
      <c r="N4" s="2713"/>
      <c r="O4" s="2713"/>
      <c r="P4" s="3769" t="s">
        <v>1775</v>
      </c>
      <c r="Q4" s="3770"/>
      <c r="R4" s="3773" t="s">
        <v>1771</v>
      </c>
      <c r="S4" s="3774"/>
      <c r="T4" s="3773" t="s">
        <v>1772</v>
      </c>
      <c r="U4" s="3774"/>
      <c r="V4" s="3728" t="s">
        <v>1773</v>
      </c>
      <c r="W4" s="3728"/>
      <c r="X4" s="1354"/>
      <c r="Y4" s="3773" t="s">
        <v>1775</v>
      </c>
      <c r="Z4" s="3774"/>
      <c r="AA4" s="3768" t="s">
        <v>1771</v>
      </c>
      <c r="AB4" s="3740" t="s">
        <v>1772</v>
      </c>
      <c r="AC4" s="3768" t="s">
        <v>1773</v>
      </c>
    </row>
    <row r="5" spans="1:29">
      <c r="A5" s="358"/>
      <c r="B5" s="359"/>
      <c r="C5" s="3775" t="s">
        <v>1673</v>
      </c>
      <c r="D5" s="3732"/>
      <c r="E5" s="3776" t="s">
        <v>1674</v>
      </c>
      <c r="F5" s="3743"/>
      <c r="G5" s="3775" t="s">
        <v>1675</v>
      </c>
      <c r="H5" s="3732"/>
      <c r="I5" s="3775" t="s">
        <v>1676</v>
      </c>
      <c r="J5" s="3732"/>
      <c r="K5" s="559"/>
      <c r="L5" s="2712"/>
      <c r="M5" s="2713"/>
      <c r="N5" s="2713"/>
      <c r="O5" s="2713"/>
      <c r="P5" s="3771"/>
      <c r="Q5" s="3718"/>
      <c r="R5" s="3723"/>
      <c r="S5" s="3724"/>
      <c r="T5" s="3723"/>
      <c r="U5" s="3724"/>
      <c r="V5" s="3728"/>
      <c r="W5" s="3728"/>
      <c r="X5" s="1354"/>
      <c r="Y5" s="3723"/>
      <c r="Z5" s="3724"/>
      <c r="AA5" s="3740"/>
      <c r="AB5" s="3740"/>
      <c r="AC5" s="3740"/>
    </row>
    <row r="6" spans="1:29" ht="15" thickBot="1">
      <c r="A6" s="360"/>
      <c r="B6" s="361"/>
      <c r="C6" s="3729" t="s">
        <v>1677</v>
      </c>
      <c r="D6" s="3730"/>
      <c r="E6" s="3737" t="s">
        <v>1677</v>
      </c>
      <c r="F6" s="3738"/>
      <c r="G6" s="3729" t="s">
        <v>1677</v>
      </c>
      <c r="H6" s="3730"/>
      <c r="I6" s="3729" t="s">
        <v>1677</v>
      </c>
      <c r="J6" s="3730"/>
      <c r="K6" s="559" t="s">
        <v>1678</v>
      </c>
      <c r="L6" s="2712"/>
      <c r="M6" s="2713"/>
      <c r="N6" s="2713"/>
      <c r="O6" s="2713"/>
      <c r="P6" s="3772"/>
      <c r="Q6" s="3720"/>
      <c r="R6" s="3723"/>
      <c r="S6" s="3724"/>
      <c r="T6" s="3725"/>
      <c r="U6" s="3726"/>
      <c r="V6" s="3728"/>
      <c r="W6" s="3728"/>
      <c r="X6" s="1354"/>
      <c r="Y6" s="3725"/>
      <c r="Z6" s="3726"/>
      <c r="AA6" s="3741"/>
      <c r="AB6" s="3741"/>
      <c r="AC6" s="3741"/>
    </row>
    <row r="7" spans="1:29" s="108" customFormat="1" ht="14.5" thickBot="1">
      <c r="A7" s="362" t="s">
        <v>1679</v>
      </c>
      <c r="B7" s="363"/>
      <c r="C7" s="364">
        <f>'数据-取费表'!B2</f>
        <v>45716</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35" t="s">
        <v>1680</v>
      </c>
      <c r="Q7" s="3736"/>
      <c r="R7" s="700" t="s">
        <v>14</v>
      </c>
      <c r="S7" s="701">
        <f t="shared" ref="S7:S14" si="0">F7</f>
        <v>0</v>
      </c>
      <c r="T7" s="700" t="s">
        <v>14</v>
      </c>
      <c r="U7" s="701">
        <f t="shared" ref="U7:U14" si="1">H7</f>
        <v>0</v>
      </c>
      <c r="V7" s="700" t="s">
        <v>14</v>
      </c>
      <c r="W7" s="701">
        <f t="shared" ref="W7:W14" si="2">J7</f>
        <v>0</v>
      </c>
      <c r="X7" s="702"/>
      <c r="Y7" s="3735" t="s">
        <v>1680</v>
      </c>
      <c r="Z7" s="3734"/>
      <c r="AA7" s="703" t="e">
        <f>D7/F7</f>
        <v>#DIV/0!</v>
      </c>
      <c r="AB7" s="703" t="e">
        <f>D7/H7</f>
        <v>#DIV/0!</v>
      </c>
      <c r="AC7" s="703" t="e">
        <f>D7/J7</f>
        <v>#DIV/0!</v>
      </c>
    </row>
    <row r="8" spans="1:29" s="108" customFormat="1" ht="14.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5" t="s">
        <v>1683</v>
      </c>
      <c r="Q8" s="3734"/>
      <c r="R8" s="700" t="s">
        <v>14</v>
      </c>
      <c r="S8" s="701">
        <f t="shared" si="0"/>
        <v>100</v>
      </c>
      <c r="T8" s="700" t="s">
        <v>14</v>
      </c>
      <c r="U8" s="701">
        <f t="shared" si="1"/>
        <v>100</v>
      </c>
      <c r="V8" s="700" t="s">
        <v>14</v>
      </c>
      <c r="W8" s="701">
        <f t="shared" si="2"/>
        <v>100</v>
      </c>
      <c r="X8" s="702"/>
      <c r="Y8" s="3735" t="s">
        <v>1683</v>
      </c>
      <c r="Z8" s="373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1686</v>
      </c>
      <c r="Q9" s="1342" t="str">
        <f t="shared" ref="Q9:Q14" si="6">B9</f>
        <v>用途</v>
      </c>
      <c r="R9" s="700" t="s">
        <v>14</v>
      </c>
      <c r="S9" s="701">
        <f t="shared" si="0"/>
        <v>100</v>
      </c>
      <c r="T9" s="700" t="s">
        <v>14</v>
      </c>
      <c r="U9" s="701">
        <f t="shared" si="1"/>
        <v>100</v>
      </c>
      <c r="V9" s="700" t="s">
        <v>14</v>
      </c>
      <c r="W9" s="701">
        <f t="shared" si="2"/>
        <v>100</v>
      </c>
      <c r="X9" s="702"/>
      <c r="Y9" s="3573" t="s">
        <v>1687</v>
      </c>
      <c r="Z9" s="52" t="str">
        <f t="shared" ref="Z9:Z14" si="7">Q9</f>
        <v>用途</v>
      </c>
      <c r="AA9" s="703">
        <f t="shared" si="3"/>
        <v>1</v>
      </c>
      <c r="AB9" s="703">
        <f t="shared" si="4"/>
        <v>1</v>
      </c>
      <c r="AC9" s="703">
        <f t="shared" si="5"/>
        <v>1</v>
      </c>
    </row>
    <row r="10" spans="1:29" s="378" customFormat="1" ht="2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98">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5">
      <c r="A15" s="379"/>
      <c r="B15" s="397"/>
      <c r="C15" s="398"/>
      <c r="D15" s="399"/>
      <c r="E15" s="398"/>
      <c r="F15" s="400"/>
      <c r="G15" s="398"/>
      <c r="H15" s="401"/>
      <c r="I15" s="398"/>
      <c r="J15" s="399"/>
      <c r="K15" s="564"/>
      <c r="L15" s="2719"/>
      <c r="M15" s="2713"/>
      <c r="N15" s="2713"/>
      <c r="O15" s="2771"/>
      <c r="P15" s="3702"/>
      <c r="Q15" s="1351"/>
      <c r="R15" s="704"/>
      <c r="S15" s="705"/>
      <c r="T15" s="704"/>
      <c r="U15" s="705"/>
      <c r="V15" s="704"/>
      <c r="W15" s="705"/>
      <c r="X15" s="1354"/>
      <c r="Y15" s="3702"/>
      <c r="Z15" s="1355"/>
      <c r="AA15" s="1352">
        <v>1</v>
      </c>
      <c r="AB15" s="1352">
        <v>1</v>
      </c>
      <c r="AC15" s="1352">
        <v>1</v>
      </c>
    </row>
    <row r="16" spans="1:29" ht="42">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5">
      <c r="A17" s="379"/>
      <c r="B17" s="407"/>
      <c r="C17" s="1900"/>
      <c r="D17" s="399"/>
      <c r="E17" s="398"/>
      <c r="F17" s="400"/>
      <c r="G17" s="398"/>
      <c r="H17" s="399"/>
      <c r="I17" s="398"/>
      <c r="J17" s="399"/>
      <c r="K17" s="564"/>
      <c r="L17" s="2719"/>
      <c r="M17" s="2713"/>
      <c r="N17" s="2713"/>
      <c r="O17" s="2771"/>
      <c r="P17" s="3702"/>
      <c r="Q17" s="1351"/>
      <c r="R17" s="704"/>
      <c r="S17" s="705"/>
      <c r="T17" s="704"/>
      <c r="U17" s="705"/>
      <c r="V17" s="704"/>
      <c r="W17" s="705"/>
      <c r="X17" s="1354"/>
      <c r="Y17" s="3702"/>
      <c r="Z17" s="1355"/>
      <c r="AA17" s="1352">
        <v>1</v>
      </c>
      <c r="AB17" s="1352">
        <v>1</v>
      </c>
      <c r="AC17" s="1352">
        <v>1</v>
      </c>
    </row>
    <row r="18" spans="1:29" ht="42">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5">
      <c r="A19" s="379"/>
      <c r="B19" s="1130"/>
      <c r="C19" s="1900"/>
      <c r="D19" s="401"/>
      <c r="E19" s="1900"/>
      <c r="F19" s="404"/>
      <c r="G19" s="1900"/>
      <c r="H19" s="399"/>
      <c r="I19" s="398"/>
      <c r="J19" s="399"/>
      <c r="K19" s="1129"/>
      <c r="L19" s="2719"/>
      <c r="M19" s="2713"/>
      <c r="N19" s="2713"/>
      <c r="O19" s="2771"/>
      <c r="P19" s="3702"/>
      <c r="Q19" s="1351"/>
      <c r="R19" s="704"/>
      <c r="S19" s="705"/>
      <c r="T19" s="704"/>
      <c r="U19" s="705"/>
      <c r="V19" s="704"/>
      <c r="W19" s="705"/>
      <c r="X19" s="1354"/>
      <c r="Y19" s="3702"/>
      <c r="Z19" s="1355"/>
      <c r="AA19" s="1352">
        <v>1</v>
      </c>
      <c r="AB19" s="1352">
        <v>1</v>
      </c>
      <c r="AC19" s="1352">
        <v>1</v>
      </c>
    </row>
    <row r="20" spans="1:29" ht="56">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5">
      <c r="A21" s="379"/>
      <c r="B21" s="407"/>
      <c r="C21" s="398"/>
      <c r="D21" s="399"/>
      <c r="E21" s="398"/>
      <c r="F21" s="400"/>
      <c r="G21" s="398"/>
      <c r="H21" s="399"/>
      <c r="I21" s="398"/>
      <c r="J21" s="399"/>
      <c r="K21" s="564"/>
      <c r="L21" s="2719"/>
      <c r="M21" s="2713"/>
      <c r="N21" s="2713"/>
      <c r="O21" s="2771"/>
      <c r="P21" s="3702"/>
      <c r="Q21" s="1351"/>
      <c r="R21" s="704"/>
      <c r="S21" s="705"/>
      <c r="T21" s="704"/>
      <c r="U21" s="705"/>
      <c r="V21" s="704"/>
      <c r="W21" s="705"/>
      <c r="X21" s="1354"/>
      <c r="Y21" s="3702"/>
      <c r="Z21" s="1355"/>
      <c r="AA21" s="1352">
        <v>1</v>
      </c>
      <c r="AB21" s="1352">
        <v>1</v>
      </c>
      <c r="AC21" s="1352">
        <v>1</v>
      </c>
    </row>
    <row r="22" spans="1:29" ht="15.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9">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6" t="s">
        <v>1696</v>
      </c>
      <c r="Q32" s="1351">
        <f t="shared" si="11"/>
        <v>111</v>
      </c>
      <c r="R32" s="704" t="s">
        <v>14</v>
      </c>
      <c r="S32" s="705">
        <f t="shared" si="12"/>
        <v>100</v>
      </c>
      <c r="T32" s="704" t="s">
        <v>14</v>
      </c>
      <c r="U32" s="705">
        <f t="shared" si="13"/>
        <v>100</v>
      </c>
      <c r="V32" s="704" t="s">
        <v>14</v>
      </c>
      <c r="W32" s="705">
        <f t="shared" si="14"/>
        <v>100</v>
      </c>
      <c r="X32" s="1354"/>
      <c r="Y32" s="3706" t="s">
        <v>1696</v>
      </c>
      <c r="Z32" s="1355">
        <f t="shared" si="15"/>
        <v>111</v>
      </c>
      <c r="AA32" s="1352">
        <f t="shared" si="3"/>
        <v>1</v>
      </c>
      <c r="AB32" s="1352">
        <f t="shared" si="4"/>
        <v>1</v>
      </c>
      <c r="AC32" s="1352">
        <f t="shared" si="5"/>
        <v>1</v>
      </c>
    </row>
    <row r="33" spans="1:30" ht="15.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c r="A35" s="430" t="s">
        <v>1708</v>
      </c>
      <c r="B35" s="431"/>
      <c r="C35" s="1153" t="s">
        <v>0</v>
      </c>
      <c r="D35" s="1154"/>
      <c r="E35" s="1155"/>
      <c r="F35" s="1156"/>
      <c r="G35" s="1157"/>
      <c r="H35" s="1158"/>
      <c r="I35" s="1155"/>
      <c r="J35" s="1158"/>
      <c r="K35" s="713"/>
      <c r="L35" s="2721"/>
      <c r="M35" s="2722"/>
      <c r="N35" s="2713"/>
      <c r="O35" s="2722"/>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4.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4.5" thickBot="1">
      <c r="A37" s="441" t="s">
        <v>1794</v>
      </c>
      <c r="B37" s="442"/>
      <c r="C37" s="1162" t="e">
        <f>R37</f>
        <v>#DIV/0!</v>
      </c>
      <c r="D37" s="1162"/>
      <c r="E37" s="1162"/>
      <c r="F37" s="1162"/>
      <c r="G37" s="1162"/>
      <c r="H37" s="1162"/>
      <c r="I37" s="1162"/>
      <c r="J37" s="1162"/>
      <c r="K37" s="714"/>
      <c r="L37" s="2721"/>
      <c r="M37" s="2722"/>
      <c r="N37" s="2722"/>
      <c r="O37" s="2722"/>
      <c r="P37" s="3765" t="str">
        <f>A37</f>
        <v>估价对象XX用房的比较价值（楼面单价，元/平方米）</v>
      </c>
      <c r="Q37" s="3766"/>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4.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4.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8.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4.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8.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4.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4.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4.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4.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4.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4.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4.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4.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4.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4.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4.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4.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4.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4.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357" customWidth="1"/>
    <col min="2" max="2" width="15.7265625" style="357" customWidth="1"/>
    <col min="3" max="3" width="14.36328125" style="357" customWidth="1"/>
    <col min="4" max="4" width="14.0898437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c r="A4" s="355" t="s">
        <v>1769</v>
      </c>
      <c r="B4" s="356"/>
      <c r="C4" s="3711" t="s">
        <v>1770</v>
      </c>
      <c r="D4" s="3712"/>
      <c r="E4" s="3713" t="s">
        <v>1771</v>
      </c>
      <c r="F4" s="3714"/>
      <c r="G4" s="3711" t="s">
        <v>1772</v>
      </c>
      <c r="H4" s="3712"/>
      <c r="I4" s="3711" t="s">
        <v>1773</v>
      </c>
      <c r="J4" s="3712"/>
      <c r="K4" s="559" t="s">
        <v>1774</v>
      </c>
      <c r="L4" s="2712"/>
      <c r="M4" s="2713"/>
      <c r="N4" s="2713"/>
      <c r="O4" s="2713"/>
      <c r="P4" s="3769" t="s">
        <v>1775</v>
      </c>
      <c r="Q4" s="3770"/>
      <c r="R4" s="3773" t="s">
        <v>1771</v>
      </c>
      <c r="S4" s="3774"/>
      <c r="T4" s="3773" t="s">
        <v>1772</v>
      </c>
      <c r="U4" s="3774"/>
      <c r="V4" s="3728" t="s">
        <v>1773</v>
      </c>
      <c r="W4" s="3728"/>
      <c r="X4" s="1354"/>
      <c r="Y4" s="3773" t="s">
        <v>1775</v>
      </c>
      <c r="Z4" s="3774"/>
      <c r="AA4" s="3768" t="s">
        <v>1771</v>
      </c>
      <c r="AB4" s="3740" t="s">
        <v>1772</v>
      </c>
      <c r="AC4" s="3768" t="s">
        <v>1773</v>
      </c>
    </row>
    <row r="5" spans="1:30">
      <c r="A5" s="358"/>
      <c r="B5" s="359"/>
      <c r="C5" s="3775" t="s">
        <v>1673</v>
      </c>
      <c r="D5" s="3732"/>
      <c r="E5" s="3776" t="s">
        <v>1674</v>
      </c>
      <c r="F5" s="3743"/>
      <c r="G5" s="3775" t="s">
        <v>1675</v>
      </c>
      <c r="H5" s="3732"/>
      <c r="I5" s="3775" t="s">
        <v>1676</v>
      </c>
      <c r="J5" s="3732"/>
      <c r="K5" s="559"/>
      <c r="L5" s="2712"/>
      <c r="M5" s="2713"/>
      <c r="N5" s="2713"/>
      <c r="O5" s="2713"/>
      <c r="P5" s="3771"/>
      <c r="Q5" s="3718"/>
      <c r="R5" s="3723"/>
      <c r="S5" s="3724"/>
      <c r="T5" s="3723"/>
      <c r="U5" s="3724"/>
      <c r="V5" s="3728"/>
      <c r="W5" s="3728"/>
      <c r="X5" s="1354"/>
      <c r="Y5" s="3723"/>
      <c r="Z5" s="3724"/>
      <c r="AA5" s="3740"/>
      <c r="AB5" s="3740"/>
      <c r="AC5" s="3740"/>
    </row>
    <row r="6" spans="1:30" ht="15" thickBot="1">
      <c r="A6" s="360"/>
      <c r="B6" s="361"/>
      <c r="C6" s="3729" t="s">
        <v>1677</v>
      </c>
      <c r="D6" s="3730"/>
      <c r="E6" s="3737" t="s">
        <v>1677</v>
      </c>
      <c r="F6" s="3738"/>
      <c r="G6" s="3729" t="s">
        <v>1677</v>
      </c>
      <c r="H6" s="3730"/>
      <c r="I6" s="3729" t="s">
        <v>1677</v>
      </c>
      <c r="J6" s="3730"/>
      <c r="K6" s="559" t="s">
        <v>1678</v>
      </c>
      <c r="L6" s="2712"/>
      <c r="M6" s="2713"/>
      <c r="N6" s="2713"/>
      <c r="O6" s="2713"/>
      <c r="P6" s="3772"/>
      <c r="Q6" s="3720"/>
      <c r="R6" s="3723"/>
      <c r="S6" s="3724"/>
      <c r="T6" s="3725"/>
      <c r="U6" s="3726"/>
      <c r="V6" s="3728"/>
      <c r="W6" s="3728"/>
      <c r="X6" s="1354"/>
      <c r="Y6" s="3725"/>
      <c r="Z6" s="3726"/>
      <c r="AA6" s="3741"/>
      <c r="AB6" s="3741"/>
      <c r="AC6" s="3741"/>
    </row>
    <row r="7" spans="1:30" s="108" customFormat="1" ht="14.5" thickBot="1">
      <c r="A7" s="362" t="s">
        <v>1679</v>
      </c>
      <c r="B7" s="363"/>
      <c r="C7" s="364">
        <f>'数据-取费表'!B2</f>
        <v>45716</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35" t="s">
        <v>1680</v>
      </c>
      <c r="Q7" s="3736"/>
      <c r="R7" s="700" t="s">
        <v>14</v>
      </c>
      <c r="S7" s="701">
        <f t="shared" ref="S7:S15" si="0">F7</f>
        <v>0</v>
      </c>
      <c r="T7" s="700" t="s">
        <v>14</v>
      </c>
      <c r="U7" s="701">
        <f t="shared" ref="U7:U15" si="1">H7</f>
        <v>0</v>
      </c>
      <c r="V7" s="700" t="s">
        <v>14</v>
      </c>
      <c r="W7" s="701">
        <f t="shared" ref="W7:W15" si="2">J7</f>
        <v>0</v>
      </c>
      <c r="X7" s="702"/>
      <c r="Y7" s="3735" t="s">
        <v>1680</v>
      </c>
      <c r="Z7" s="3734"/>
      <c r="AA7" s="703" t="e">
        <f>D7/F7</f>
        <v>#DIV/0!</v>
      </c>
      <c r="AB7" s="703" t="e">
        <f>D7/H7</f>
        <v>#DIV/0!</v>
      </c>
      <c r="AC7" s="703" t="e">
        <f>D7/J7</f>
        <v>#DIV/0!</v>
      </c>
    </row>
    <row r="8" spans="1:30" s="108" customFormat="1" ht="14.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5" t="s">
        <v>1683</v>
      </c>
      <c r="Q8" s="3734"/>
      <c r="R8" s="700" t="s">
        <v>14</v>
      </c>
      <c r="S8" s="701">
        <f t="shared" si="0"/>
        <v>0</v>
      </c>
      <c r="T8" s="700" t="s">
        <v>14</v>
      </c>
      <c r="U8" s="701">
        <f t="shared" si="1"/>
        <v>0</v>
      </c>
      <c r="V8" s="700" t="s">
        <v>14</v>
      </c>
      <c r="W8" s="701">
        <f t="shared" si="2"/>
        <v>0</v>
      </c>
      <c r="X8" s="702"/>
      <c r="Y8" s="3735" t="s">
        <v>1683</v>
      </c>
      <c r="Z8" s="373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94"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30" s="378" customFormat="1" ht="28">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94"/>
      <c r="Q10" s="1342" t="str">
        <f t="shared" si="6"/>
        <v>土地使用年限（年）</v>
      </c>
      <c r="R10" s="700" t="s">
        <v>14</v>
      </c>
      <c r="S10" s="701">
        <f t="shared" si="0"/>
        <v>108</v>
      </c>
      <c r="T10" s="700" t="s">
        <v>14</v>
      </c>
      <c r="U10" s="701">
        <f t="shared" si="1"/>
        <v>108</v>
      </c>
      <c r="V10" s="700" t="s">
        <v>14</v>
      </c>
      <c r="W10" s="701">
        <f t="shared" si="2"/>
        <v>108</v>
      </c>
      <c r="X10" s="702"/>
      <c r="Y10" s="3573"/>
      <c r="Z10" s="52" t="str">
        <f t="shared" si="7"/>
        <v>土地使用年限（年）</v>
      </c>
      <c r="AA10" s="703">
        <f t="shared" si="3"/>
        <v>0.92592592592592593</v>
      </c>
      <c r="AB10" s="703">
        <f t="shared" si="4"/>
        <v>0.92592592592592593</v>
      </c>
      <c r="AC10" s="703">
        <f t="shared" si="5"/>
        <v>0.92592592592592593</v>
      </c>
    </row>
    <row r="11" spans="1:30" ht="15.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30" s="108" customFormat="1" ht="15.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2" t="str">
        <f t="shared" si="6"/>
        <v>配建</v>
      </c>
      <c r="R12" s="700" t="s">
        <v>14</v>
      </c>
      <c r="S12" s="701">
        <f t="shared" si="0"/>
        <v>100</v>
      </c>
      <c r="T12" s="700" t="s">
        <v>14</v>
      </c>
      <c r="U12" s="701">
        <f t="shared" si="1"/>
        <v>100</v>
      </c>
      <c r="V12" s="700" t="s">
        <v>14</v>
      </c>
      <c r="W12" s="701">
        <f t="shared" si="2"/>
        <v>100</v>
      </c>
      <c r="X12" s="702"/>
      <c r="Y12" s="3573"/>
      <c r="Z12" s="52" t="str">
        <f t="shared" si="7"/>
        <v>配建</v>
      </c>
      <c r="AA12" s="703">
        <f>D12/F12</f>
        <v>1</v>
      </c>
      <c r="AB12" s="703">
        <f>D12/H12</f>
        <v>1</v>
      </c>
      <c r="AC12" s="703">
        <f>D12/J12</f>
        <v>1</v>
      </c>
    </row>
    <row r="13" spans="1:30" ht="15.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D13/F13</f>
        <v>1</v>
      </c>
      <c r="AB13" s="703">
        <f>D13/H13</f>
        <v>1</v>
      </c>
      <c r="AC13" s="703">
        <f>D13/J13</f>
        <v>1</v>
      </c>
    </row>
    <row r="14" spans="1:30" ht="1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D14/F14</f>
        <v>1</v>
      </c>
      <c r="AB14" s="703">
        <f>D14/H14</f>
        <v>1</v>
      </c>
      <c r="AC14" s="703">
        <f>D14/J14</f>
        <v>1</v>
      </c>
    </row>
    <row r="15" spans="1:30" ht="98">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1" t="s">
        <v>1691</v>
      </c>
      <c r="Q15" s="1351" t="str">
        <f t="shared" si="6"/>
        <v>居住社区成熟度</v>
      </c>
      <c r="R15" s="704" t="s">
        <v>14</v>
      </c>
      <c r="S15" s="705">
        <f t="shared" si="0"/>
        <v>100</v>
      </c>
      <c r="T15" s="704" t="s">
        <v>14</v>
      </c>
      <c r="U15" s="705">
        <f t="shared" si="1"/>
        <v>100</v>
      </c>
      <c r="V15" s="704" t="s">
        <v>14</v>
      </c>
      <c r="W15" s="705">
        <f t="shared" si="2"/>
        <v>100</v>
      </c>
      <c r="X15" s="1354"/>
      <c r="Y15" s="3701" t="s">
        <v>1691</v>
      </c>
      <c r="Z15" s="1355" t="str">
        <f t="shared" si="7"/>
        <v>居住社区成熟度</v>
      </c>
      <c r="AA15" s="1352">
        <f t="shared" si="3"/>
        <v>1</v>
      </c>
      <c r="AB15" s="1352">
        <f t="shared" si="4"/>
        <v>1</v>
      </c>
      <c r="AC15" s="1352">
        <f t="shared" si="5"/>
        <v>1</v>
      </c>
    </row>
    <row r="16" spans="1:30" ht="15.5">
      <c r="A16" s="379"/>
      <c r="B16" s="397"/>
      <c r="C16" s="398"/>
      <c r="D16" s="399"/>
      <c r="E16" s="1897"/>
      <c r="F16" s="399"/>
      <c r="G16" s="1897"/>
      <c r="H16" s="401"/>
      <c r="I16" s="1896"/>
      <c r="J16" s="399"/>
      <c r="K16" s="620"/>
      <c r="L16" s="2719"/>
      <c r="M16" s="2713"/>
      <c r="N16" s="2713"/>
      <c r="O16" s="2771"/>
      <c r="P16" s="3702"/>
      <c r="Q16" s="1351"/>
      <c r="R16" s="704"/>
      <c r="S16" s="705"/>
      <c r="T16" s="704"/>
      <c r="U16" s="705"/>
      <c r="V16" s="704"/>
      <c r="W16" s="705"/>
      <c r="X16" s="1354"/>
      <c r="Y16" s="3702"/>
      <c r="Z16" s="1355"/>
      <c r="AA16" s="1352">
        <v>1</v>
      </c>
      <c r="AB16" s="1352">
        <v>1</v>
      </c>
      <c r="AC16" s="1352">
        <v>1</v>
      </c>
    </row>
    <row r="17" spans="1:29" ht="84">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5">
      <c r="A18" s="379"/>
      <c r="B18" s="407"/>
      <c r="C18" s="1900"/>
      <c r="D18" s="401"/>
      <c r="E18" s="1902"/>
      <c r="F18" s="401"/>
      <c r="G18" s="1902"/>
      <c r="H18" s="399"/>
      <c r="I18" s="1901"/>
      <c r="J18" s="399"/>
      <c r="K18" s="620"/>
      <c r="L18" s="2719"/>
      <c r="M18" s="2713"/>
      <c r="N18" s="2713"/>
      <c r="O18" s="2771"/>
      <c r="P18" s="3702"/>
      <c r="Q18" s="1351"/>
      <c r="R18" s="704"/>
      <c r="S18" s="705"/>
      <c r="T18" s="704"/>
      <c r="U18" s="705"/>
      <c r="V18" s="704"/>
      <c r="W18" s="705"/>
      <c r="X18" s="1354"/>
      <c r="Y18" s="3702"/>
      <c r="Z18" s="1355"/>
      <c r="AA18" s="1352">
        <v>1</v>
      </c>
      <c r="AB18" s="1352">
        <v>1</v>
      </c>
      <c r="AC18" s="1352">
        <v>1</v>
      </c>
    </row>
    <row r="19" spans="1:29" ht="84">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5">
      <c r="A20" s="379"/>
      <c r="B20" s="407"/>
      <c r="C20" s="398"/>
      <c r="D20" s="399"/>
      <c r="E20" s="1897"/>
      <c r="F20" s="399"/>
      <c r="G20" s="1897"/>
      <c r="H20" s="399"/>
      <c r="I20" s="1896"/>
      <c r="J20" s="399"/>
      <c r="K20" s="620"/>
      <c r="L20" s="2719"/>
      <c r="M20" s="2713"/>
      <c r="N20" s="2713"/>
      <c r="O20" s="2771"/>
      <c r="P20" s="3702"/>
      <c r="Q20" s="1351"/>
      <c r="R20" s="704"/>
      <c r="S20" s="705"/>
      <c r="T20" s="704"/>
      <c r="U20" s="705"/>
      <c r="V20" s="704"/>
      <c r="W20" s="705"/>
      <c r="X20" s="1354"/>
      <c r="Y20" s="3702"/>
      <c r="Z20" s="1355"/>
      <c r="AA20" s="1352">
        <v>1</v>
      </c>
      <c r="AB20" s="1352">
        <v>1</v>
      </c>
      <c r="AC20" s="1352">
        <v>1</v>
      </c>
    </row>
    <row r="21" spans="1:29" ht="98">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5">
      <c r="A22" s="379"/>
      <c r="B22" s="1130"/>
      <c r="C22" s="398"/>
      <c r="D22" s="401"/>
      <c r="E22" s="1897"/>
      <c r="F22" s="399"/>
      <c r="G22" s="1897"/>
      <c r="H22" s="399"/>
      <c r="I22" s="1896"/>
      <c r="J22" s="399"/>
      <c r="K22" s="620"/>
      <c r="L22" s="2719"/>
      <c r="M22" s="2713"/>
      <c r="N22" s="2713"/>
      <c r="O22" s="2771"/>
      <c r="P22" s="3702"/>
      <c r="Q22" s="1351"/>
      <c r="R22" s="704"/>
      <c r="S22" s="705"/>
      <c r="T22" s="704"/>
      <c r="U22" s="705"/>
      <c r="V22" s="704"/>
      <c r="W22" s="705"/>
      <c r="X22" s="1354"/>
      <c r="Y22" s="3702"/>
      <c r="Z22" s="1355"/>
      <c r="AA22" s="1352">
        <v>1</v>
      </c>
      <c r="AB22" s="1352">
        <v>1</v>
      </c>
      <c r="AC22" s="1352">
        <v>1</v>
      </c>
    </row>
    <row r="23" spans="1:29" ht="2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5">
      <c r="A24" s="358"/>
      <c r="B24" s="407"/>
      <c r="C24" s="565"/>
      <c r="D24" s="399"/>
      <c r="E24" s="1897"/>
      <c r="F24" s="399"/>
      <c r="G24" s="1896"/>
      <c r="H24" s="399"/>
      <c r="I24" s="1896"/>
      <c r="J24" s="399"/>
      <c r="K24" s="739"/>
      <c r="L24" s="2719"/>
      <c r="M24" s="2713"/>
      <c r="N24" s="2713"/>
      <c r="O24" s="2771"/>
      <c r="P24" s="3702"/>
      <c r="Q24" s="1351"/>
      <c r="R24" s="704"/>
      <c r="S24" s="705"/>
      <c r="T24" s="704"/>
      <c r="U24" s="705"/>
      <c r="V24" s="704"/>
      <c r="W24" s="705"/>
      <c r="X24" s="1354"/>
      <c r="Y24" s="3702"/>
      <c r="Z24" s="1355"/>
      <c r="AA24" s="1352"/>
      <c r="AB24" s="1352"/>
      <c r="AC24" s="1352"/>
    </row>
    <row r="25" spans="1:29" ht="56">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5">
      <c r="A26" s="358"/>
      <c r="B26" s="407"/>
      <c r="C26" s="398"/>
      <c r="D26" s="399"/>
      <c r="E26" s="1903"/>
      <c r="F26" s="399"/>
      <c r="G26" s="1903"/>
      <c r="H26" s="399"/>
      <c r="I26" s="398"/>
      <c r="J26" s="399"/>
      <c r="K26" s="620"/>
      <c r="L26" s="2719"/>
      <c r="M26" s="2713"/>
      <c r="N26" s="2713"/>
      <c r="O26" s="2771"/>
      <c r="P26" s="3702"/>
      <c r="Q26" s="1351"/>
      <c r="R26" s="704"/>
      <c r="S26" s="705"/>
      <c r="T26" s="704"/>
      <c r="U26" s="705"/>
      <c r="V26" s="704"/>
      <c r="W26" s="705"/>
      <c r="X26" s="1354"/>
      <c r="Y26" s="3702"/>
      <c r="Z26" s="1355"/>
      <c r="AA26" s="1352">
        <v>1</v>
      </c>
      <c r="AB26" s="1352">
        <v>1</v>
      </c>
      <c r="AC26" s="1352">
        <v>1</v>
      </c>
    </row>
    <row r="27" spans="1:29" s="108" customFormat="1" ht="42">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5">
      <c r="A28" s="597"/>
      <c r="B28" s="407"/>
      <c r="C28" s="1977"/>
      <c r="D28" s="399"/>
      <c r="E28" s="1903"/>
      <c r="F28" s="399"/>
      <c r="G28" s="1903"/>
      <c r="H28" s="399"/>
      <c r="I28" s="398"/>
      <c r="J28" s="399"/>
      <c r="K28" s="620"/>
      <c r="L28" s="2714"/>
      <c r="M28" s="2715"/>
      <c r="N28" s="2715"/>
      <c r="O28" s="2769"/>
      <c r="P28" s="3702"/>
      <c r="Q28" s="1342"/>
      <c r="R28" s="700"/>
      <c r="S28" s="701"/>
      <c r="T28" s="700"/>
      <c r="U28" s="701"/>
      <c r="V28" s="700"/>
      <c r="W28" s="701"/>
      <c r="X28" s="702"/>
      <c r="Y28" s="3702"/>
      <c r="Z28" s="52"/>
      <c r="AA28" s="1352">
        <v>1</v>
      </c>
      <c r="AB28" s="1352">
        <v>1</v>
      </c>
      <c r="AC28" s="1352">
        <v>1</v>
      </c>
    </row>
    <row r="29" spans="1:29" s="108" customFormat="1" ht="42">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5">
      <c r="A30" s="597"/>
      <c r="B30" s="407"/>
      <c r="C30" s="1977"/>
      <c r="D30" s="399"/>
      <c r="E30" s="1978"/>
      <c r="F30" s="399"/>
      <c r="G30" s="1978"/>
      <c r="H30" s="399"/>
      <c r="I30" s="1978"/>
      <c r="J30" s="399"/>
      <c r="K30" s="620"/>
      <c r="L30" s="2714"/>
      <c r="M30" s="2715"/>
      <c r="N30" s="2715"/>
      <c r="O30" s="2769"/>
      <c r="P30" s="3702"/>
      <c r="Q30" s="1342"/>
      <c r="R30" s="700"/>
      <c r="S30" s="701"/>
      <c r="T30" s="700"/>
      <c r="U30" s="701"/>
      <c r="V30" s="700"/>
      <c r="W30" s="701"/>
      <c r="X30" s="702"/>
      <c r="Y30" s="3702"/>
      <c r="Z30" s="52"/>
      <c r="AA30" s="1352">
        <v>1</v>
      </c>
      <c r="AB30" s="1352">
        <v>1</v>
      </c>
      <c r="AC30" s="1352">
        <v>1</v>
      </c>
    </row>
    <row r="31" spans="1:29" ht="15.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5">
      <c r="A33" s="379"/>
      <c r="B33" s="407"/>
      <c r="C33" s="398"/>
      <c r="D33" s="399"/>
      <c r="E33" s="1903"/>
      <c r="F33" s="399"/>
      <c r="G33" s="1903"/>
      <c r="H33" s="399"/>
      <c r="I33" s="398"/>
      <c r="J33" s="399"/>
      <c r="K33" s="562"/>
      <c r="L33" s="2719"/>
      <c r="M33" s="2713"/>
      <c r="N33" s="2713"/>
      <c r="O33" s="2771"/>
      <c r="P33" s="3702"/>
      <c r="Q33" s="1351"/>
      <c r="R33" s="704"/>
      <c r="S33" s="705"/>
      <c r="T33" s="704"/>
      <c r="U33" s="705"/>
      <c r="V33" s="704"/>
      <c r="W33" s="705"/>
      <c r="X33" s="1354"/>
      <c r="Y33" s="3702"/>
      <c r="Z33" s="1355"/>
      <c r="AA33" s="1352">
        <v>1</v>
      </c>
      <c r="AB33" s="1352">
        <v>1</v>
      </c>
      <c r="AC33" s="1352">
        <v>1</v>
      </c>
    </row>
    <row r="34" spans="1:29" ht="15.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7" t="s">
        <v>1696</v>
      </c>
      <c r="Q36" s="1351">
        <f t="shared" si="8"/>
        <v>111</v>
      </c>
      <c r="R36" s="704" t="s">
        <v>14</v>
      </c>
      <c r="S36" s="705">
        <f t="shared" si="10"/>
        <v>100</v>
      </c>
      <c r="T36" s="704" t="s">
        <v>14</v>
      </c>
      <c r="U36" s="705">
        <f t="shared" si="11"/>
        <v>100</v>
      </c>
      <c r="V36" s="704" t="s">
        <v>14</v>
      </c>
      <c r="W36" s="705">
        <f t="shared" si="12"/>
        <v>100</v>
      </c>
      <c r="X36" s="1354"/>
      <c r="Y36" s="3706" t="s">
        <v>1696</v>
      </c>
      <c r="Z36" s="1355">
        <f t="shared" si="13"/>
        <v>111</v>
      </c>
      <c r="AA36" s="1352">
        <f t="shared" si="3"/>
        <v>1</v>
      </c>
      <c r="AB36" s="1352">
        <f t="shared" si="4"/>
        <v>1</v>
      </c>
      <c r="AC36" s="1352">
        <f t="shared" si="5"/>
        <v>1</v>
      </c>
    </row>
    <row r="37" spans="1:29" s="422" customFormat="1" ht="1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06" t="s">
        <v>1696</v>
      </c>
      <c r="Q42" s="1351" t="str">
        <f t="shared" si="14"/>
        <v>工程地质条件</v>
      </c>
      <c r="R42" s="704" t="s">
        <v>14</v>
      </c>
      <c r="S42" s="705">
        <f t="shared" si="10"/>
        <v>100</v>
      </c>
      <c r="T42" s="704" t="s">
        <v>14</v>
      </c>
      <c r="U42" s="705">
        <f t="shared" si="11"/>
        <v>100</v>
      </c>
      <c r="V42" s="704" t="s">
        <v>14</v>
      </c>
      <c r="W42" s="705">
        <f t="shared" si="12"/>
        <v>100</v>
      </c>
      <c r="X42" s="1354"/>
      <c r="Y42" s="3706" t="s">
        <v>1696</v>
      </c>
      <c r="Z42" s="1355" t="str">
        <f t="shared" si="13"/>
        <v>工程地质条件</v>
      </c>
      <c r="AA42" s="1352">
        <f t="shared" si="3"/>
        <v>1</v>
      </c>
      <c r="AB42" s="1352">
        <f t="shared" si="4"/>
        <v>1</v>
      </c>
      <c r="AC42" s="1352">
        <f t="shared" si="5"/>
        <v>1</v>
      </c>
    </row>
    <row r="43" spans="1:29" ht="15.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c r="A46" s="430" t="s">
        <v>1844</v>
      </c>
      <c r="B46" s="1981" t="s">
        <v>1879</v>
      </c>
      <c r="C46" s="630" t="s">
        <v>0</v>
      </c>
      <c r="D46" s="432"/>
      <c r="E46" s="433"/>
      <c r="F46" s="434"/>
      <c r="G46" s="435"/>
      <c r="H46" s="436"/>
      <c r="I46" s="433"/>
      <c r="J46" s="436"/>
      <c r="K46" s="713"/>
      <c r="L46" s="2721"/>
      <c r="M46" s="2722"/>
      <c r="N46" s="2713"/>
      <c r="O46" s="2722"/>
      <c r="P46" s="3694" t="str">
        <f>A46</f>
        <v>成交单价</v>
      </c>
      <c r="Q46" s="3694"/>
      <c r="R46" s="3728">
        <f>E46</f>
        <v>0</v>
      </c>
      <c r="S46" s="3728"/>
      <c r="T46" s="3728">
        <f>G46</f>
        <v>0</v>
      </c>
      <c r="U46" s="3728"/>
      <c r="V46" s="3728">
        <f>I46</f>
        <v>0</v>
      </c>
      <c r="W46" s="3728"/>
      <c r="X46" s="689"/>
      <c r="Y46" s="711"/>
      <c r="Z46" s="689"/>
      <c r="AA46" s="689"/>
      <c r="AB46" s="689"/>
      <c r="AC46" s="689"/>
    </row>
    <row r="47" spans="1:29" ht="14.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694" t="str">
        <f>A47</f>
        <v>比较价值（元/平方米）</v>
      </c>
      <c r="Q47" s="3694"/>
      <c r="R47" s="3779" t="e">
        <f>ROUND(PRODUCT(R46,AA7:AA45),0)</f>
        <v>#DIV/0!</v>
      </c>
      <c r="S47" s="3779"/>
      <c r="T47" s="3779" t="e">
        <f>ROUND(PRODUCT(T46,AB7:AB45),0)</f>
        <v>#DIV/0!</v>
      </c>
      <c r="U47" s="3779"/>
      <c r="V47" s="3779" t="e">
        <f>ROUND(PRODUCT(V46,AC7:AC45),0)</f>
        <v>#DIV/0!</v>
      </c>
      <c r="W47" s="3779"/>
      <c r="X47" s="689"/>
      <c r="Y47" s="689"/>
      <c r="Z47" s="689"/>
      <c r="AA47" s="689"/>
      <c r="AB47" s="689"/>
      <c r="AC47" s="689"/>
    </row>
    <row r="48" spans="1:29" ht="14.5" thickBot="1">
      <c r="A48" s="441" t="s">
        <v>1880</v>
      </c>
      <c r="B48" s="442"/>
      <c r="C48" s="443" t="e">
        <f>R48</f>
        <v>#DIV/0!</v>
      </c>
      <c r="D48" s="443"/>
      <c r="E48" s="443"/>
      <c r="F48" s="443"/>
      <c r="G48" s="443"/>
      <c r="H48" s="443"/>
      <c r="I48" s="443"/>
      <c r="J48" s="443"/>
      <c r="K48" s="714"/>
      <c r="L48" s="2721"/>
      <c r="M48" s="2722"/>
      <c r="N48" s="2722"/>
      <c r="O48" s="2722"/>
      <c r="P48" s="3765" t="str">
        <f>A48</f>
        <v>估价对象XX用房的比较价值（楼面单价，元/平方米）</v>
      </c>
      <c r="Q48" s="3766"/>
      <c r="R48" s="3780" t="e">
        <f>ROUND(IF(D47="简单平均",AVERAGE(R47:W47),R47*F47+T47*H47+V47*J47),0)</f>
        <v>#DIV/0!</v>
      </c>
      <c r="S48" s="3780"/>
      <c r="T48" s="3780"/>
      <c r="U48" s="3780"/>
      <c r="V48" s="3780"/>
      <c r="W48" s="378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1" t="s">
        <v>1887</v>
      </c>
      <c r="H55" s="3781"/>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148.12</v>
      </c>
      <c r="F56" s="885" t="e">
        <f t="shared" ref="F56:F64" si="15">ROUND(B56*E56/10000,0)</f>
        <v>#DIV/0!</v>
      </c>
      <c r="G56" s="3693"/>
      <c r="H56" s="3694"/>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148.12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4.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4.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8.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4.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4.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4.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4.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8.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4.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8.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4.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4.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4.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4.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4.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8.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4.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4.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4.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4.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4.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c r="A4" s="355" t="s">
        <v>1769</v>
      </c>
      <c r="B4" s="356"/>
      <c r="C4" s="3711" t="s">
        <v>1770</v>
      </c>
      <c r="D4" s="3712"/>
      <c r="E4" s="3713" t="s">
        <v>1771</v>
      </c>
      <c r="F4" s="3714"/>
      <c r="G4" s="3711" t="s">
        <v>1772</v>
      </c>
      <c r="H4" s="3712"/>
      <c r="I4" s="3711" t="s">
        <v>1773</v>
      </c>
      <c r="J4" s="3712"/>
      <c r="K4" s="559" t="s">
        <v>1774</v>
      </c>
      <c r="L4" s="2712"/>
      <c r="M4" s="2713"/>
      <c r="N4" s="2713"/>
      <c r="O4" s="2713"/>
      <c r="P4" s="3769" t="s">
        <v>1775</v>
      </c>
      <c r="Q4" s="3770"/>
      <c r="R4" s="3773" t="s">
        <v>1771</v>
      </c>
      <c r="S4" s="3774"/>
      <c r="T4" s="3773" t="s">
        <v>1772</v>
      </c>
      <c r="U4" s="3774"/>
      <c r="V4" s="3728" t="s">
        <v>1773</v>
      </c>
      <c r="W4" s="3728"/>
      <c r="X4" s="1354"/>
      <c r="Y4" s="3773" t="s">
        <v>1775</v>
      </c>
      <c r="Z4" s="3774"/>
      <c r="AA4" s="3768" t="s">
        <v>1771</v>
      </c>
      <c r="AB4" s="3740" t="s">
        <v>1772</v>
      </c>
      <c r="AC4" s="3768" t="s">
        <v>1773</v>
      </c>
    </row>
    <row r="5" spans="1:29">
      <c r="A5" s="358"/>
      <c r="B5" s="359"/>
      <c r="C5" s="3775" t="s">
        <v>1673</v>
      </c>
      <c r="D5" s="3732"/>
      <c r="E5" s="3776" t="s">
        <v>1674</v>
      </c>
      <c r="F5" s="3743"/>
      <c r="G5" s="3775" t="s">
        <v>1675</v>
      </c>
      <c r="H5" s="3732"/>
      <c r="I5" s="3775" t="s">
        <v>1676</v>
      </c>
      <c r="J5" s="3732"/>
      <c r="K5" s="559"/>
      <c r="L5" s="2712"/>
      <c r="M5" s="2713"/>
      <c r="N5" s="2713"/>
      <c r="O5" s="2713"/>
      <c r="P5" s="3771"/>
      <c r="Q5" s="3718"/>
      <c r="R5" s="3723"/>
      <c r="S5" s="3724"/>
      <c r="T5" s="3723"/>
      <c r="U5" s="3724"/>
      <c r="V5" s="3728"/>
      <c r="W5" s="3728"/>
      <c r="X5" s="1354"/>
      <c r="Y5" s="3723"/>
      <c r="Z5" s="3724"/>
      <c r="AA5" s="3740"/>
      <c r="AB5" s="3740"/>
      <c r="AC5" s="3740"/>
    </row>
    <row r="6" spans="1:29" ht="15" thickBot="1">
      <c r="A6" s="360"/>
      <c r="B6" s="361"/>
      <c r="C6" s="3782" t="s">
        <v>1919</v>
      </c>
      <c r="D6" s="3783"/>
      <c r="E6" s="3784" t="s">
        <v>1919</v>
      </c>
      <c r="F6" s="3785"/>
      <c r="G6" s="3782" t="s">
        <v>1919</v>
      </c>
      <c r="H6" s="3783"/>
      <c r="I6" s="3782" t="s">
        <v>1919</v>
      </c>
      <c r="J6" s="3783"/>
      <c r="K6" s="559" t="s">
        <v>1678</v>
      </c>
      <c r="L6" s="2712"/>
      <c r="M6" s="2713"/>
      <c r="N6" s="2713"/>
      <c r="O6" s="2713"/>
      <c r="P6" s="3772"/>
      <c r="Q6" s="3720"/>
      <c r="R6" s="3723"/>
      <c r="S6" s="3724"/>
      <c r="T6" s="3725"/>
      <c r="U6" s="3726"/>
      <c r="V6" s="3728"/>
      <c r="W6" s="3728"/>
      <c r="X6" s="1354"/>
      <c r="Y6" s="3725"/>
      <c r="Z6" s="3726"/>
      <c r="AA6" s="3741"/>
      <c r="AB6" s="3741"/>
      <c r="AC6" s="3741"/>
    </row>
    <row r="7" spans="1:29" s="108" customFormat="1" ht="14.5" thickBot="1">
      <c r="A7" s="362" t="s">
        <v>1679</v>
      </c>
      <c r="B7" s="363"/>
      <c r="C7" s="364">
        <f>'数据-取费表'!B2</f>
        <v>45716</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35" t="s">
        <v>1680</v>
      </c>
      <c r="Q7" s="3736"/>
      <c r="R7" s="700" t="s">
        <v>14</v>
      </c>
      <c r="S7" s="701">
        <f t="shared" ref="S7:S15" si="0">F7</f>
        <v>0</v>
      </c>
      <c r="T7" s="700" t="s">
        <v>14</v>
      </c>
      <c r="U7" s="701">
        <f t="shared" ref="U7:U15" si="1">H7</f>
        <v>0</v>
      </c>
      <c r="V7" s="700" t="s">
        <v>14</v>
      </c>
      <c r="W7" s="701">
        <f t="shared" ref="W7:W15" si="2">J7</f>
        <v>0</v>
      </c>
      <c r="X7" s="702"/>
      <c r="Y7" s="3735" t="s">
        <v>1680</v>
      </c>
      <c r="Z7" s="3734"/>
      <c r="AA7" s="703" t="e">
        <f>D7/F7</f>
        <v>#DIV/0!</v>
      </c>
      <c r="AB7" s="703" t="e">
        <f>D7/H7</f>
        <v>#DIV/0!</v>
      </c>
      <c r="AC7" s="703" t="e">
        <f>D7/J7</f>
        <v>#DIV/0!</v>
      </c>
    </row>
    <row r="8" spans="1:29" s="108" customFormat="1" ht="14.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5" t="s">
        <v>1683</v>
      </c>
      <c r="Q8" s="3734"/>
      <c r="R8" s="700" t="s">
        <v>14</v>
      </c>
      <c r="S8" s="701">
        <f t="shared" si="0"/>
        <v>0</v>
      </c>
      <c r="T8" s="700" t="s">
        <v>14</v>
      </c>
      <c r="U8" s="701">
        <f t="shared" si="1"/>
        <v>0</v>
      </c>
      <c r="V8" s="700" t="s">
        <v>14</v>
      </c>
      <c r="W8" s="701">
        <f t="shared" si="2"/>
        <v>0</v>
      </c>
      <c r="X8" s="702"/>
      <c r="Y8" s="3735" t="s">
        <v>1683</v>
      </c>
      <c r="Z8" s="373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4"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8">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94"/>
      <c r="Q10" s="1342" t="str">
        <f t="shared" si="6"/>
        <v>土地使用年限（年）</v>
      </c>
      <c r="R10" s="700" t="s">
        <v>14</v>
      </c>
      <c r="S10" s="701">
        <f t="shared" si="0"/>
        <v>108</v>
      </c>
      <c r="T10" s="700" t="s">
        <v>14</v>
      </c>
      <c r="U10" s="701">
        <f t="shared" si="1"/>
        <v>108</v>
      </c>
      <c r="V10" s="700" t="s">
        <v>14</v>
      </c>
      <c r="W10" s="701">
        <f t="shared" si="2"/>
        <v>108</v>
      </c>
      <c r="X10" s="702"/>
      <c r="Y10" s="3573"/>
      <c r="Z10" s="52" t="str">
        <f t="shared" si="7"/>
        <v>土地使用年限（年）</v>
      </c>
      <c r="AA10" s="703">
        <f t="shared" si="3"/>
        <v>0.92592592592592593</v>
      </c>
      <c r="AB10" s="703">
        <f t="shared" si="4"/>
        <v>0.92592592592592593</v>
      </c>
      <c r="AC10" s="703">
        <f t="shared" si="5"/>
        <v>0.92592592592592593</v>
      </c>
    </row>
    <row r="11" spans="1:29" ht="15.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70">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5">
      <c r="A16" s="379"/>
      <c r="B16" s="578"/>
      <c r="C16" s="398"/>
      <c r="D16" s="399"/>
      <c r="E16" s="1903"/>
      <c r="F16" s="399"/>
      <c r="G16" s="1903"/>
      <c r="H16" s="401"/>
      <c r="I16" s="1903"/>
      <c r="J16" s="399"/>
      <c r="K16" s="620"/>
      <c r="L16" s="2719"/>
      <c r="M16" s="2713"/>
      <c r="N16" s="2713"/>
      <c r="O16" s="2771"/>
      <c r="P16" s="3702"/>
      <c r="Q16" s="1351"/>
      <c r="R16" s="704"/>
      <c r="S16" s="705"/>
      <c r="T16" s="704"/>
      <c r="U16" s="705"/>
      <c r="V16" s="704"/>
      <c r="W16" s="705"/>
      <c r="X16" s="1354"/>
      <c r="Y16" s="3702"/>
      <c r="Z16" s="1355"/>
      <c r="AA16" s="1352">
        <v>1</v>
      </c>
      <c r="AB16" s="1352">
        <v>1</v>
      </c>
      <c r="AC16" s="1352">
        <v>1</v>
      </c>
    </row>
    <row r="17" spans="1:29" ht="98">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5">
      <c r="A18" s="379"/>
      <c r="B18" s="580"/>
      <c r="C18" s="398"/>
      <c r="D18" s="399"/>
      <c r="E18" s="1897"/>
      <c r="F18" s="399"/>
      <c r="G18" s="1897"/>
      <c r="H18" s="399"/>
      <c r="I18" s="1896"/>
      <c r="J18" s="399"/>
      <c r="K18" s="620"/>
      <c r="L18" s="2719"/>
      <c r="M18" s="2713"/>
      <c r="N18" s="2713"/>
      <c r="O18" s="2771"/>
      <c r="P18" s="3702"/>
      <c r="Q18" s="1351"/>
      <c r="R18" s="704"/>
      <c r="S18" s="705"/>
      <c r="T18" s="704"/>
      <c r="U18" s="705"/>
      <c r="V18" s="704"/>
      <c r="W18" s="705"/>
      <c r="X18" s="1354"/>
      <c r="Y18" s="3702"/>
      <c r="Z18" s="1355"/>
      <c r="AA18" s="1352">
        <v>1</v>
      </c>
      <c r="AB18" s="1352">
        <v>1</v>
      </c>
      <c r="AC18" s="1352">
        <v>1</v>
      </c>
    </row>
    <row r="19" spans="1:29" ht="2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5">
      <c r="A20" s="358"/>
      <c r="B20" s="580"/>
      <c r="C20" s="398"/>
      <c r="D20" s="399"/>
      <c r="E20" s="1897"/>
      <c r="F20" s="399"/>
      <c r="G20" s="1897"/>
      <c r="H20" s="399"/>
      <c r="I20" s="1897"/>
      <c r="J20" s="399"/>
      <c r="K20" s="739"/>
      <c r="L20" s="2719"/>
      <c r="M20" s="2713"/>
      <c r="N20" s="2713"/>
      <c r="O20" s="2771"/>
      <c r="P20" s="3702"/>
      <c r="Q20" s="1351"/>
      <c r="R20" s="704"/>
      <c r="S20" s="705"/>
      <c r="T20" s="704"/>
      <c r="U20" s="705"/>
      <c r="V20" s="704"/>
      <c r="W20" s="705"/>
      <c r="X20" s="1354"/>
      <c r="Y20" s="3702"/>
      <c r="Z20" s="1355"/>
      <c r="AA20" s="1352"/>
      <c r="AB20" s="1352"/>
      <c r="AC20" s="1352"/>
    </row>
    <row r="21" spans="1:29" ht="84">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5">
      <c r="A22" s="358"/>
      <c r="B22" s="580"/>
      <c r="C22" s="398"/>
      <c r="D22" s="399"/>
      <c r="E22" s="1903"/>
      <c r="F22" s="399"/>
      <c r="G22" s="1903"/>
      <c r="H22" s="399"/>
      <c r="I22" s="398"/>
      <c r="J22" s="399"/>
      <c r="K22" s="620"/>
      <c r="L22" s="2719"/>
      <c r="M22" s="2713"/>
      <c r="N22" s="2713"/>
      <c r="O22" s="2771"/>
      <c r="P22" s="3702"/>
      <c r="Q22" s="1351"/>
      <c r="R22" s="704"/>
      <c r="S22" s="705"/>
      <c r="T22" s="704"/>
      <c r="U22" s="705"/>
      <c r="V22" s="704"/>
      <c r="W22" s="705"/>
      <c r="X22" s="1354"/>
      <c r="Y22" s="3702"/>
      <c r="Z22" s="1355"/>
      <c r="AA22" s="1352">
        <v>1</v>
      </c>
      <c r="AB22" s="1352">
        <v>1</v>
      </c>
      <c r="AC22" s="1352">
        <v>1</v>
      </c>
    </row>
    <row r="23" spans="1:29" s="108" customFormat="1" ht="42">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5">
      <c r="A24" s="597"/>
      <c r="B24" s="580"/>
      <c r="C24" s="1977"/>
      <c r="D24" s="399"/>
      <c r="E24" s="1903"/>
      <c r="F24" s="399"/>
      <c r="G24" s="1903"/>
      <c r="H24" s="399"/>
      <c r="I24" s="398"/>
      <c r="J24" s="399"/>
      <c r="K24" s="620"/>
      <c r="L24" s="2714"/>
      <c r="M24" s="2715"/>
      <c r="N24" s="2715"/>
      <c r="O24" s="2769"/>
      <c r="P24" s="3702"/>
      <c r="Q24" s="1342"/>
      <c r="R24" s="700"/>
      <c r="S24" s="701"/>
      <c r="T24" s="700"/>
      <c r="U24" s="701"/>
      <c r="V24" s="700"/>
      <c r="W24" s="701"/>
      <c r="X24" s="702"/>
      <c r="Y24" s="3702"/>
      <c r="Z24" s="52"/>
      <c r="AA24" s="703">
        <v>1</v>
      </c>
      <c r="AB24" s="703">
        <v>1</v>
      </c>
      <c r="AC24" s="703">
        <v>1</v>
      </c>
    </row>
    <row r="25" spans="1:29" s="108" customFormat="1" ht="42">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5">
      <c r="A26" s="597"/>
      <c r="B26" s="580"/>
      <c r="C26" s="1977"/>
      <c r="D26" s="399"/>
      <c r="E26" s="1978"/>
      <c r="F26" s="399"/>
      <c r="G26" s="1978"/>
      <c r="H26" s="399"/>
      <c r="I26" s="1978"/>
      <c r="J26" s="399"/>
      <c r="K26" s="620"/>
      <c r="L26" s="2714"/>
      <c r="M26" s="2715"/>
      <c r="N26" s="2715"/>
      <c r="O26" s="2769"/>
      <c r="P26" s="3702"/>
      <c r="Q26" s="1342"/>
      <c r="R26" s="700"/>
      <c r="S26" s="701"/>
      <c r="T26" s="700"/>
      <c r="U26" s="701"/>
      <c r="V26" s="700"/>
      <c r="W26" s="701"/>
      <c r="X26" s="702"/>
      <c r="Y26" s="3702"/>
      <c r="Z26" s="52"/>
      <c r="AA26" s="703">
        <v>1</v>
      </c>
      <c r="AB26" s="703">
        <v>1</v>
      </c>
      <c r="AC26" s="703">
        <v>1</v>
      </c>
    </row>
    <row r="27" spans="1:29" ht="15.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5">
      <c r="A29" s="379"/>
      <c r="B29" s="580"/>
      <c r="C29" s="398"/>
      <c r="D29" s="399"/>
      <c r="E29" s="1903"/>
      <c r="F29" s="399"/>
      <c r="G29" s="1903"/>
      <c r="H29" s="399"/>
      <c r="I29" s="1903"/>
      <c r="J29" s="399"/>
      <c r="K29" s="562"/>
      <c r="L29" s="2719"/>
      <c r="M29" s="2713"/>
      <c r="N29" s="2713"/>
      <c r="O29" s="2771"/>
      <c r="P29" s="3702"/>
      <c r="Q29" s="1351"/>
      <c r="R29" s="704"/>
      <c r="S29" s="705"/>
      <c r="T29" s="704"/>
      <c r="U29" s="705"/>
      <c r="V29" s="704"/>
      <c r="W29" s="705"/>
      <c r="X29" s="1354"/>
      <c r="Y29" s="3702"/>
      <c r="Z29" s="1355"/>
      <c r="AA29" s="1352">
        <v>1</v>
      </c>
      <c r="AB29" s="1352">
        <v>1</v>
      </c>
      <c r="AC29" s="1352">
        <v>1</v>
      </c>
    </row>
    <row r="30" spans="1:29" ht="15.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7" t="s">
        <v>1696</v>
      </c>
      <c r="Q32" s="1351">
        <f t="shared" si="8"/>
        <v>111</v>
      </c>
      <c r="R32" s="704" t="s">
        <v>14</v>
      </c>
      <c r="S32" s="705">
        <f t="shared" si="10"/>
        <v>100</v>
      </c>
      <c r="T32" s="704" t="s">
        <v>14</v>
      </c>
      <c r="U32" s="705">
        <f t="shared" si="11"/>
        <v>100</v>
      </c>
      <c r="V32" s="704" t="s">
        <v>14</v>
      </c>
      <c r="W32" s="705">
        <f t="shared" si="12"/>
        <v>100</v>
      </c>
      <c r="X32" s="1354"/>
      <c r="Y32" s="3706" t="s">
        <v>1696</v>
      </c>
      <c r="Z32" s="1355">
        <f t="shared" si="13"/>
        <v>111</v>
      </c>
      <c r="AA32" s="1352">
        <f t="shared" si="3"/>
        <v>1</v>
      </c>
      <c r="AB32" s="1352">
        <f t="shared" si="4"/>
        <v>1</v>
      </c>
      <c r="AC32" s="1352">
        <f t="shared" si="5"/>
        <v>1</v>
      </c>
    </row>
    <row r="33" spans="1:31" s="422" customFormat="1" ht="1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06" t="s">
        <v>1696</v>
      </c>
      <c r="Q37" s="1351" t="str">
        <f t="shared" si="14"/>
        <v>工程地质条件</v>
      </c>
      <c r="R37" s="704" t="s">
        <v>14</v>
      </c>
      <c r="S37" s="705">
        <f t="shared" si="10"/>
        <v>100</v>
      </c>
      <c r="T37" s="704" t="s">
        <v>14</v>
      </c>
      <c r="U37" s="705">
        <f t="shared" si="11"/>
        <v>100</v>
      </c>
      <c r="V37" s="704" t="s">
        <v>14</v>
      </c>
      <c r="W37" s="705">
        <f t="shared" si="12"/>
        <v>100</v>
      </c>
      <c r="X37" s="1354"/>
      <c r="Y37" s="3706" t="s">
        <v>1696</v>
      </c>
      <c r="Z37" s="1355" t="str">
        <f t="shared" si="13"/>
        <v>工程地质条件</v>
      </c>
      <c r="AA37" s="1352">
        <f t="shared" si="3"/>
        <v>1</v>
      </c>
      <c r="AB37" s="1352">
        <f t="shared" si="4"/>
        <v>1</v>
      </c>
      <c r="AC37" s="1352">
        <f t="shared" si="5"/>
        <v>1</v>
      </c>
    </row>
    <row r="38" spans="1:31" ht="15.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c r="A41" s="430" t="s">
        <v>1844</v>
      </c>
      <c r="B41" s="1981" t="s">
        <v>1922</v>
      </c>
      <c r="C41" s="630" t="s">
        <v>0</v>
      </c>
      <c r="D41" s="432"/>
      <c r="E41" s="433"/>
      <c r="F41" s="434"/>
      <c r="G41" s="435"/>
      <c r="H41" s="436"/>
      <c r="I41" s="433"/>
      <c r="J41" s="436"/>
      <c r="K41" s="713"/>
      <c r="L41" s="2721"/>
      <c r="M41" s="2713"/>
      <c r="N41" s="2713"/>
      <c r="O41" s="2722"/>
      <c r="P41" s="3694" t="str">
        <f>A41</f>
        <v>成交单价</v>
      </c>
      <c r="Q41" s="3694"/>
      <c r="R41" s="3728">
        <f>E41</f>
        <v>0</v>
      </c>
      <c r="S41" s="3728"/>
      <c r="T41" s="3728">
        <f>G41</f>
        <v>0</v>
      </c>
      <c r="U41" s="3728"/>
      <c r="V41" s="3728">
        <f>I41</f>
        <v>0</v>
      </c>
      <c r="W41" s="3728"/>
      <c r="X41" s="689"/>
      <c r="Y41" s="711"/>
      <c r="Z41" s="689"/>
      <c r="AA41" s="689"/>
      <c r="AB41" s="689"/>
      <c r="AC41" s="689"/>
    </row>
    <row r="42" spans="1:31" ht="14.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694" t="str">
        <f>A42</f>
        <v>比较价值（元/平方米）</v>
      </c>
      <c r="Q42" s="3694"/>
      <c r="R42" s="3779" t="e">
        <f>ROUND(PRODUCT(R41,AA7:AA40),0)</f>
        <v>#DIV/0!</v>
      </c>
      <c r="S42" s="3779"/>
      <c r="T42" s="3779" t="e">
        <f>ROUND(PRODUCT(T41,AB7:AB40),0)</f>
        <v>#DIV/0!</v>
      </c>
      <c r="U42" s="3779"/>
      <c r="V42" s="3779" t="e">
        <f>ROUND(PRODUCT(V41,AC7:AC40),0)</f>
        <v>#DIV/0!</v>
      </c>
      <c r="W42" s="3779"/>
      <c r="X42" s="689"/>
      <c r="Y42" s="689"/>
      <c r="Z42" s="689"/>
      <c r="AA42" s="689"/>
      <c r="AB42" s="689"/>
      <c r="AC42" s="689"/>
    </row>
    <row r="43" spans="1:31" ht="14.5" thickBot="1">
      <c r="A43" s="441" t="s">
        <v>1794</v>
      </c>
      <c r="B43" s="442"/>
      <c r="C43" s="443" t="e">
        <f>R43</f>
        <v>#DIV/0!</v>
      </c>
      <c r="D43" s="443"/>
      <c r="E43" s="443"/>
      <c r="F43" s="443"/>
      <c r="G43" s="443"/>
      <c r="H43" s="443"/>
      <c r="I43" s="443"/>
      <c r="J43" s="443"/>
      <c r="K43" s="714"/>
      <c r="L43" s="2721"/>
      <c r="M43" s="2713"/>
      <c r="N43" s="2713"/>
      <c r="O43" s="2722"/>
      <c r="P43" s="3765" t="str">
        <f>A43</f>
        <v>估价对象XX用房的比较价值（楼面单价，元/平方米）</v>
      </c>
      <c r="Q43" s="3766"/>
      <c r="R43" s="3780" t="e">
        <f>ROUND(IF(D42="简单平均",AVERAGE(R42:W42),R42*F42+T42*H42+V42*J42),0)</f>
        <v>#DIV/0!</v>
      </c>
      <c r="S43" s="3780"/>
      <c r="T43" s="3780"/>
      <c r="U43" s="3780"/>
      <c r="V43" s="3780"/>
      <c r="W43" s="378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
      <c r="A50" s="632" t="s">
        <v>1881</v>
      </c>
      <c r="B50" s="633" t="s">
        <v>1882</v>
      </c>
      <c r="C50" s="1982" t="s">
        <v>1883</v>
      </c>
      <c r="D50" s="1983" t="s">
        <v>1884</v>
      </c>
      <c r="E50" s="634" t="s">
        <v>1885</v>
      </c>
      <c r="F50" s="635" t="s">
        <v>1886</v>
      </c>
      <c r="G50" s="3711" t="s">
        <v>1887</v>
      </c>
      <c r="H50" s="378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148.12</v>
      </c>
      <c r="F51" s="639" t="e">
        <f t="shared" ref="F51:F60" si="15">ROUND(B51*E51/10000,0)</f>
        <v>#DIV/0!</v>
      </c>
      <c r="G51" s="3693"/>
      <c r="H51" s="3694"/>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4.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4.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8.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4.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4.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8.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4.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8.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4.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4.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4.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4.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8.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4.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4.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4.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4.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5"/>
  <cols>
    <col min="1" max="1" width="11.453125" style="130"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9" t="s">
        <v>2084</v>
      </c>
      <c r="D1" s="3790"/>
      <c r="E1" s="3790"/>
      <c r="F1" s="3790"/>
      <c r="G1" s="3790"/>
      <c r="H1" s="3790"/>
      <c r="I1" s="3790"/>
      <c r="J1" s="3790"/>
      <c r="K1" s="3790"/>
      <c r="L1" s="3790"/>
      <c r="M1" s="3790"/>
      <c r="N1" s="3790"/>
      <c r="O1" s="3790"/>
      <c r="P1" s="3790"/>
      <c r="Q1" s="3790"/>
      <c r="R1" s="3790"/>
      <c r="S1" s="3791"/>
      <c r="T1" s="982" t="s">
        <v>2085</v>
      </c>
    </row>
    <row r="2" spans="1:45" s="655" customFormat="1" ht="37.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3">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13">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t="13">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t="13">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t="13">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t="13">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ht="13">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ht="13">
      <c r="A19" s="129"/>
      <c r="B19" s="159"/>
      <c r="C19" s="159"/>
      <c r="D19" s="2149" t="s">
        <v>2095</v>
      </c>
      <c r="E19" s="1339"/>
      <c r="F19" s="1339"/>
      <c r="G19" s="1339"/>
      <c r="H19" s="1058"/>
      <c r="I19" s="159"/>
      <c r="J19" s="159"/>
      <c r="K19" s="159"/>
      <c r="L19" s="159"/>
      <c r="M19" s="159"/>
      <c r="N19" s="159"/>
      <c r="O19" s="159"/>
      <c r="P19" s="159"/>
      <c r="Q19" s="159"/>
      <c r="R19" s="717"/>
      <c r="S19" s="129"/>
    </row>
    <row r="20" spans="1:45" ht="16" thickBot="1">
      <c r="A20" s="661" t="s">
        <v>2096</v>
      </c>
      <c r="B20" s="294">
        <f>IF(D20="——",S22,S22-F20)</f>
        <v>366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5">
      <c r="A21" s="661" t="s">
        <v>2098</v>
      </c>
      <c r="B21" s="294">
        <f>ROUND(B20*10000/B22,0)</f>
        <v>24710</v>
      </c>
      <c r="C21" s="159"/>
      <c r="D21" s="159"/>
      <c r="E21" s="159"/>
      <c r="F21" s="159"/>
      <c r="G21" s="159"/>
      <c r="H21" s="159"/>
      <c r="I21" s="159"/>
      <c r="J21" s="159"/>
      <c r="K21" s="159"/>
      <c r="L21" s="159"/>
      <c r="M21" s="159"/>
      <c r="N21" s="159"/>
      <c r="O21" s="159"/>
      <c r="P21" s="159"/>
      <c r="Q21" s="159"/>
      <c r="R21" s="717"/>
      <c r="S21" s="129"/>
    </row>
    <row r="22" spans="1:45" ht="13">
      <c r="A22" s="316" t="s">
        <v>2099</v>
      </c>
      <c r="B22" s="21">
        <f>SUM(B24:B10000)</f>
        <v>148.12</v>
      </c>
      <c r="C22" s="3786" t="s">
        <v>27</v>
      </c>
      <c r="D22" s="3787"/>
      <c r="E22" s="3787"/>
      <c r="F22" s="3787"/>
      <c r="G22" s="3787"/>
      <c r="H22" s="3787"/>
      <c r="I22" s="3787"/>
      <c r="J22" s="3787"/>
      <c r="K22" s="3787"/>
      <c r="L22" s="3787"/>
      <c r="M22" s="3787"/>
      <c r="N22" s="3787"/>
      <c r="O22" s="3787"/>
      <c r="P22" s="3787"/>
      <c r="Q22" s="3788"/>
      <c r="R22" s="662">
        <f>ROUND(S22*10000/B22,0)</f>
        <v>24710</v>
      </c>
      <c r="S22" s="21">
        <f>SUM(S24:S10000)</f>
        <v>366</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ht="13">
      <c r="A24" s="3466" t="s">
        <v>3479</v>
      </c>
      <c r="B24" s="664">
        <f>'数据-基础表'!I13</f>
        <v>148.12</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24713</v>
      </c>
      <c r="S24" s="665">
        <f t="shared" ref="S24:S54" si="11">ROUND(R24*B24/10000,0)</f>
        <v>366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ht="13">
      <c r="A25" s="150" t="s">
        <v>3480</v>
      </c>
      <c r="B25" s="664">
        <f>'数据-基础表'!I14</f>
        <v>0</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ht="13">
      <c r="A26" s="150" t="s">
        <v>3481</v>
      </c>
      <c r="B26" s="664">
        <f>'数据-基础表'!I15</f>
        <v>0</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0</v>
      </c>
      <c r="R26" s="662">
        <f t="shared" ref="R26:R89" si="20">IF(B26="",0,ROUND($R$24*C26*E26*G26*I26*K26*M26*O26*Q26,0))</f>
        <v>0</v>
      </c>
      <c r="S26" s="316">
        <f t="shared" si="11"/>
        <v>0</v>
      </c>
    </row>
    <row r="27" spans="1:45" ht="13">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ht="13">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ht="13">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ht="13">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ht="13">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ht="13">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ht="13">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ht="13">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ht="13">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ht="13">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ht="13">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ht="13">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ht="13">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ht="13">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ht="13">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ht="13">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ht="13">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ht="13">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ht="13">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ht="13">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ht="13">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ht="13">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ht="13">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ht="13">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ht="13">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ht="13">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ht="13">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ht="13">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ht="13">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ht="13">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ht="13">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ht="13">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ht="13">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ht="13">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ht="13">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ht="13">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ht="13">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ht="13">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ht="13">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ht="13">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ht="13">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ht="13">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ht="13">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ht="13">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ht="13">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ht="13">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ht="13">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ht="13">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ht="13">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ht="13">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ht="13">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ht="13">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ht="13">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ht="13">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ht="13">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ht="13">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ht="13">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ht="13">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ht="13">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ht="13">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ht="13">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ht="13">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ht="13">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ht="13">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ht="13">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ht="13">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ht="13">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ht="13">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ht="13">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ht="13">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ht="13">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ht="13">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ht="13">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ht="13">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ht="13">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ht="13">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ht="13">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ht="13">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ht="13">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ht="13">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ht="13">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ht="13">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ht="13">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ht="13">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ht="13">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ht="13">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ht="13">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ht="13">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ht="13">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ht="13">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ht="13">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ht="13">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ht="13">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ht="13">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ht="13">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ht="13">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ht="13">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ht="13">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ht="13">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ht="13">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ht="13">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ht="13">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ht="13">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ht="13">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ht="13">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ht="13">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ht="13">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ht="13">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ht="13">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ht="13">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ht="13">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ht="13">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ht="13">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ht="13">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ht="13">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ht="13">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ht="13">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ht="13">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ht="13">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ht="13">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ht="13">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ht="13">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ht="13">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ht="13">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ht="13">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ht="13">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ht="13">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ht="13">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ht="13">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ht="13">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ht="13">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ht="13">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ht="13">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ht="13">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ht="13">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ht="13">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ht="13">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ht="13">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ht="13">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ht="13">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ht="13">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ht="13">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ht="13">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ht="13">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ht="13">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ht="13">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ht="13">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ht="13">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ht="13">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ht="13">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ht="13">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ht="13">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ht="13">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ht="13">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ht="13">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ht="13">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ht="13">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ht="13">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ht="13">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ht="13">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ht="13">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ht="13">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ht="13">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ht="13">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ht="13">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ht="13">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ht="13">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ht="13">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ht="13">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ht="13">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ht="13">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ht="13">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ht="13">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ht="13">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ht="13">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ht="13">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ht="13">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ht="13">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ht="13">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ht="13">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ht="13">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ht="13">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ht="13">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ht="13">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ht="13">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ht="13">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ht="13">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ht="13">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ht="13">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ht="13">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ht="13">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ht="13">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ht="13">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ht="13">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ht="13">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ht="13">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ht="13">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ht="13">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ht="13">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ht="13">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ht="13">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ht="13">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ht="13">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ht="13">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ht="13">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ht="13">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ht="13">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ht="13">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ht="13">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ht="13">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ht="13">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ht="13">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ht="13">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ht="13">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ht="13">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ht="13">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ht="13">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ht="13">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ht="13">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ht="13">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ht="13">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ht="13">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ht="13">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ht="13">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ht="13">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ht="13">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ht="13">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ht="13">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ht="13">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ht="13">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ht="13">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ht="13">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ht="13">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ht="13">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ht="13">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ht="13">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ht="13">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ht="13">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ht="13">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ht="13">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ht="13">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ht="13">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ht="13">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ht="13">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ht="13">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ht="13">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ht="13">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ht="13">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ht="13">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ht="13">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ht="13">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ht="13">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ht="13">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ht="13">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ht="13">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ht="13">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ht="13">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ht="13">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ht="13">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ht="13">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ht="13">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ht="13">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ht="13">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ht="13">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ht="13">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ht="13">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ht="13">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ht="13">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ht="13">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ht="13">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ht="13">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ht="13">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ht="13">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ht="13">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ht="13">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ht="13">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ht="13">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ht="13">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ht="13">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ht="13">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ht="13">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ht="13">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ht="13">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ht="13">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ht="13">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ht="13">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ht="13">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ht="13">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ht="13">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ht="13">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ht="13">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ht="13">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ht="13">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ht="13">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ht="13">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ht="13">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ht="13">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ht="13">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ht="13">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ht="13">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ht="13">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ht="13">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ht="13">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ht="13">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ht="13">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ht="13">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ht="13">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ht="13">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ht="13">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ht="13">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ht="13">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ht="13">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ht="13">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ht="13">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ht="13">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ht="13">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ht="13">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ht="13">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ht="13">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ht="13">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ht="13">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ht="13">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ht="13">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ht="13">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ht="13">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ht="13">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ht="13">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ht="13">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ht="13">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ht="13">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ht="13">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ht="13">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ht="13">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ht="13">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ht="13">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ht="13">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ht="13">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ht="13">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ht="13">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ht="13">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ht="13">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ht="13">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ht="13">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ht="13">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ht="13">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ht="13">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ht="13">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ht="13">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ht="13">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ht="13">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ht="13">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ht="13">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ht="13">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ht="13">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ht="13">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ht="13">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ht="13">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ht="13">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ht="13">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ht="13">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ht="13">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ht="13">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ht="13">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ht="13">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ht="13">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ht="13">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ht="13">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ht="13">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ht="13">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ht="13">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ht="13">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ht="13">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ht="13">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ht="13">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ht="13">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ht="13">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ht="13">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ht="13">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ht="13">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ht="13">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ht="13">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ht="13">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ht="13">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ht="13">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ht="13">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ht="13">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ht="13">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ht="13">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ht="13">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ht="13">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ht="13">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ht="13">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ht="13">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ht="13">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ht="13">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ht="13">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ht="13">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ht="13">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ht="13">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ht="13">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ht="13">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ht="13">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ht="13">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ht="13">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ht="13">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ht="13">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ht="13">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ht="13">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ht="13">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ht="13">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ht="13">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ht="13">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ht="13">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ht="13">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ht="13">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ht="13">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ht="13">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ht="13">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ht="13">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ht="13">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ht="13">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ht="13">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ht="13">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ht="13">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ht="13">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ht="13">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ht="13">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ht="13">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ht="13">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ht="13">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ht="13">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ht="13">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ht="13">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ht="13">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ht="13">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ht="13">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ht="13">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ht="13">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ht="13">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ht="13">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ht="13">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ht="13">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ht="13">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ht="13">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ht="13">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ht="13">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ht="13">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ht="13">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ht="13">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ht="13">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ht="13">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ht="13">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ht="13">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ht="13">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ht="13">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ht="13">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ht="13">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ht="13">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ht="13">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ht="13">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ht="13">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ht="13">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ht="13">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ht="13">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ht="13">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ht="13">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ht="13">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ht="13">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ht="13">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ht="13">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ht="13">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ht="13">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ht="13">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ht="13">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ht="13">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ht="13">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ht="13">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ht="13">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ht="13">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ht="13">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ht="13">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ht="13">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ht="13">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ht="13">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ht="13">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ht="13">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ht="13">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ht="13">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ht="13">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ht="13">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ht="13">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ht="13">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ht="13">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ht="13">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ht="13">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ht="13">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ht="13">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ht="13">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6" customWidth="1"/>
    <col min="2" max="2" width="12.453125" style="1476" customWidth="1"/>
    <col min="3" max="3" width="12.08984375" style="1476" customWidth="1"/>
    <col min="4" max="4" width="14.08984375" style="1476" customWidth="1"/>
    <col min="5" max="5" width="12.453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5">
      <c r="A2" s="2144" t="s">
        <v>2073</v>
      </c>
      <c r="B2" s="2600" t="e">
        <f ca="1">SUMIF(B6:B13,"&lt;&gt;#ref!",B6:B13)</f>
        <v>#DIV/0!</v>
      </c>
      <c r="C2" s="2144" t="s">
        <v>2074</v>
      </c>
      <c r="D2" s="2144" t="s">
        <v>2075</v>
      </c>
      <c r="E2" s="2610">
        <f ca="1">SUMIF(E6:E13,"&lt;&gt;#ref!",E6:E13)</f>
        <v>148.12</v>
      </c>
      <c r="F2" s="2790"/>
      <c r="G2" s="2790"/>
      <c r="H2" s="2790"/>
      <c r="I2" s="2790"/>
      <c r="J2" s="2790"/>
      <c r="K2" s="2790"/>
      <c r="L2" s="2790"/>
      <c r="M2" s="2790"/>
      <c r="N2" s="2790"/>
      <c r="O2" s="2790"/>
      <c r="P2" s="2790"/>
    </row>
    <row r="3" spans="1:16" ht="15.5">
      <c r="A3" s="2144" t="s">
        <v>2076</v>
      </c>
      <c r="B3" s="2600" t="e">
        <f ca="1">ROUND(B2*10000/E2,0)</f>
        <v>#DIV/0!</v>
      </c>
      <c r="C3" s="2144" t="s">
        <v>2082</v>
      </c>
      <c r="D3" s="2790"/>
      <c r="E3" s="2790"/>
      <c r="F3" s="2790"/>
      <c r="G3" s="2790"/>
      <c r="H3" s="2790"/>
      <c r="I3" s="2790"/>
      <c r="J3" s="2790"/>
      <c r="K3" s="2790"/>
      <c r="L3" s="2790"/>
      <c r="M3" s="2790"/>
      <c r="N3" s="2790"/>
      <c r="O3" s="2790"/>
      <c r="P3" s="2790"/>
    </row>
    <row r="4" spans="1:16" ht="15.5">
      <c r="A4" s="2791"/>
      <c r="B4" s="2790"/>
      <c r="C4" s="2790"/>
      <c r="D4" s="2790"/>
      <c r="E4" s="2790"/>
      <c r="F4" s="2790"/>
      <c r="G4" s="2790"/>
      <c r="H4" s="2790"/>
      <c r="I4" s="2790"/>
      <c r="J4" s="2790"/>
      <c r="K4" s="2790"/>
      <c r="L4" s="2790"/>
      <c r="M4" s="2790"/>
      <c r="N4" s="2790"/>
      <c r="O4" s="2790"/>
      <c r="P4" s="2790"/>
    </row>
    <row r="5" spans="1:16" ht="30">
      <c r="A5" s="2606" t="s">
        <v>2077</v>
      </c>
      <c r="B5" s="2608" t="s">
        <v>2078</v>
      </c>
      <c r="C5" s="2145"/>
      <c r="D5" s="2790"/>
      <c r="E5" s="2609" t="s">
        <v>2079</v>
      </c>
      <c r="F5" s="2790"/>
      <c r="G5" s="2790"/>
      <c r="H5" s="2790"/>
      <c r="I5" s="2790"/>
      <c r="J5" s="2790"/>
      <c r="K5" s="2790"/>
      <c r="L5" s="2790"/>
      <c r="M5" s="2790"/>
      <c r="N5" s="2790"/>
      <c r="O5" s="2790"/>
      <c r="P5" s="2790"/>
    </row>
    <row r="6" spans="1:16" ht="15.5">
      <c r="A6" s="2607" t="s">
        <v>2080</v>
      </c>
      <c r="B6" s="2600" t="e">
        <f ca="1">SUMIF(INDIRECT("'"&amp;A6&amp;"'"&amp;"!A:A"),"总价",INDIRECT("'"&amp;A6&amp;"'"&amp;"!B:B"))</f>
        <v>#DIV/0!</v>
      </c>
      <c r="C6" s="2144" t="s">
        <v>2074</v>
      </c>
      <c r="D6" s="2790"/>
      <c r="E6" s="2610">
        <f ca="1">SUMIF(INDIRECT("'"&amp;A6&amp;"'"&amp;"!C:C"),"建筑面积",INDIRECT("'"&amp;A6&amp;"'"&amp;"!D:D"))</f>
        <v>148.12</v>
      </c>
      <c r="F6" s="2790"/>
      <c r="G6" s="2790"/>
      <c r="H6" s="2790"/>
      <c r="I6" s="2790"/>
      <c r="J6" s="2790"/>
      <c r="K6" s="2790"/>
      <c r="L6" s="2790"/>
      <c r="M6" s="2790"/>
      <c r="N6" s="2790"/>
      <c r="O6" s="2790"/>
      <c r="P6" s="2790"/>
    </row>
    <row r="7" spans="1:16" ht="15.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3071" customWidth="1"/>
    <col min="14" max="14" width="10" style="3071" customWidth="1"/>
    <col min="15" max="16" width="8.26953125" style="3071"/>
    <col min="17" max="17" width="34.08984375" style="3071" customWidth="1"/>
    <col min="18" max="18" width="8.26953125" style="3071" customWidth="1"/>
    <col min="19" max="19" width="8.26953125" style="3071"/>
    <col min="20" max="20" width="11.6328125" style="3071" customWidth="1"/>
    <col min="21" max="16384" width="8.269531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1" t="s">
        <v>2606</v>
      </c>
      <c r="B20" s="3796" t="s">
        <v>2627</v>
      </c>
      <c r="C20" s="3100" t="s">
        <v>2438</v>
      </c>
      <c r="D20" s="3101"/>
      <c r="E20" s="3102">
        <v>1</v>
      </c>
      <c r="F20" s="3103" t="s">
        <v>2439</v>
      </c>
      <c r="G20" s="3103"/>
    </row>
    <row r="21" spans="1:13" ht="19.5" customHeight="1">
      <c r="A21" s="3802"/>
      <c r="B21" s="3795"/>
      <c r="C21" s="3104" t="s">
        <v>2440</v>
      </c>
      <c r="D21" s="3105"/>
      <c r="E21" s="3106">
        <v>1</v>
      </c>
      <c r="F21" s="3103" t="s">
        <v>2441</v>
      </c>
      <c r="G21" s="3103"/>
    </row>
    <row r="22" spans="1:13" ht="19.5" customHeight="1">
      <c r="A22" s="3802"/>
      <c r="B22" s="3795"/>
      <c r="C22" s="3104" t="s">
        <v>2442</v>
      </c>
      <c r="D22" s="3105"/>
      <c r="E22" s="3106">
        <v>0.9</v>
      </c>
      <c r="F22" s="3103" t="s">
        <v>2443</v>
      </c>
      <c r="G22" s="3103"/>
    </row>
    <row r="23" spans="1:13" ht="19.5" customHeight="1">
      <c r="A23" s="3802"/>
      <c r="B23" s="3795"/>
      <c r="C23" s="3104" t="s">
        <v>2444</v>
      </c>
      <c r="D23" s="3105"/>
      <c r="E23" s="3106">
        <v>0.9</v>
      </c>
      <c r="F23" s="3103" t="s">
        <v>2445</v>
      </c>
      <c r="G23" s="3103"/>
    </row>
    <row r="24" spans="1:13" ht="19.5" customHeight="1">
      <c r="A24" s="3802"/>
      <c r="B24" s="3795"/>
      <c r="C24" s="3104" t="s">
        <v>2446</v>
      </c>
      <c r="D24" s="3105"/>
      <c r="E24" s="3106">
        <v>0.8</v>
      </c>
      <c r="F24" s="3103" t="s">
        <v>2447</v>
      </c>
      <c r="G24" s="3103"/>
    </row>
    <row r="25" spans="1:13" ht="19.5" customHeight="1" thickBot="1">
      <c r="A25" s="3803"/>
      <c r="B25" s="379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8" t="s">
        <v>2630</v>
      </c>
      <c r="B27" s="3796" t="s">
        <v>2611</v>
      </c>
      <c r="C27" s="3100" t="s">
        <v>2451</v>
      </c>
      <c r="D27" s="3101"/>
      <c r="E27" s="3102">
        <v>1</v>
      </c>
      <c r="F27" s="3103" t="s">
        <v>2452</v>
      </c>
      <c r="G27" s="3103"/>
    </row>
    <row r="28" spans="1:13" ht="19.5" customHeight="1">
      <c r="A28" s="3799"/>
      <c r="B28" s="3795"/>
      <c r="C28" s="3104" t="s">
        <v>2453</v>
      </c>
      <c r="D28" s="3105"/>
      <c r="E28" s="3106">
        <v>1</v>
      </c>
      <c r="F28" s="3103" t="s">
        <v>2454</v>
      </c>
      <c r="G28" s="3103"/>
    </row>
    <row r="29" spans="1:13" ht="19.5" customHeight="1">
      <c r="A29" s="3799"/>
      <c r="B29" s="3795"/>
      <c r="C29" s="3104" t="s">
        <v>2455</v>
      </c>
      <c r="D29" s="3105"/>
      <c r="E29" s="3106">
        <v>0.8</v>
      </c>
      <c r="F29" s="3103" t="s">
        <v>2456</v>
      </c>
      <c r="G29" s="3103"/>
    </row>
    <row r="30" spans="1:13" ht="19.5" customHeight="1">
      <c r="A30" s="3799"/>
      <c r="B30" s="3795"/>
      <c r="C30" s="3104" t="s">
        <v>2457</v>
      </c>
      <c r="D30" s="3105"/>
      <c r="E30" s="3106">
        <v>0.8</v>
      </c>
      <c r="F30" s="3103" t="s">
        <v>2458</v>
      </c>
      <c r="G30" s="3103"/>
    </row>
    <row r="31" spans="1:13" ht="19.5" customHeight="1">
      <c r="A31" s="3799"/>
      <c r="B31" s="3795"/>
      <c r="C31" s="3104" t="s">
        <v>2459</v>
      </c>
      <c r="D31" s="3105"/>
      <c r="E31" s="3106">
        <v>0.8</v>
      </c>
      <c r="F31" s="3103" t="s">
        <v>2460</v>
      </c>
      <c r="G31" s="3103"/>
    </row>
    <row r="32" spans="1:13" ht="19.5" customHeight="1">
      <c r="A32" s="3799"/>
      <c r="B32" s="3795"/>
      <c r="C32" s="3104" t="s">
        <v>2461</v>
      </c>
      <c r="D32" s="3105"/>
      <c r="E32" s="3106">
        <v>0.7</v>
      </c>
      <c r="F32" s="3103" t="s">
        <v>2462</v>
      </c>
      <c r="G32" s="3103"/>
    </row>
    <row r="33" spans="1:7" ht="19.5" customHeight="1">
      <c r="A33" s="3799"/>
      <c r="B33" s="3795"/>
      <c r="C33" s="3104" t="s">
        <v>2463</v>
      </c>
      <c r="D33" s="3105"/>
      <c r="E33" s="3106">
        <v>0.8</v>
      </c>
      <c r="F33" s="3103" t="s">
        <v>2464</v>
      </c>
      <c r="G33" s="3103"/>
    </row>
    <row r="34" spans="1:7" ht="19.5" customHeight="1">
      <c r="A34" s="3799"/>
      <c r="B34" s="3795"/>
      <c r="C34" s="3104" t="s">
        <v>2465</v>
      </c>
      <c r="D34" s="3105"/>
      <c r="E34" s="3106">
        <v>0.6</v>
      </c>
      <c r="F34" s="3103" t="s">
        <v>2466</v>
      </c>
      <c r="G34" s="3103"/>
    </row>
    <row r="35" spans="1:7" ht="19.5" customHeight="1">
      <c r="A35" s="3799"/>
      <c r="B35" s="3795"/>
      <c r="C35" s="3104" t="s">
        <v>2467</v>
      </c>
      <c r="D35" s="3105"/>
      <c r="E35" s="3106">
        <v>0.2</v>
      </c>
      <c r="F35" s="3103" t="s">
        <v>2468</v>
      </c>
      <c r="G35" s="3103"/>
    </row>
    <row r="36" spans="1:7" ht="19.5" customHeight="1">
      <c r="A36" s="3799"/>
      <c r="B36" s="3795"/>
      <c r="C36" s="3104" t="s">
        <v>2469</v>
      </c>
      <c r="D36" s="3105"/>
      <c r="E36" s="3106">
        <v>0.2</v>
      </c>
      <c r="F36" s="3103" t="s">
        <v>2470</v>
      </c>
      <c r="G36" s="3103"/>
    </row>
    <row r="37" spans="1:7" ht="19.5" customHeight="1">
      <c r="A37" s="3799"/>
      <c r="B37" s="3793" t="s">
        <v>2631</v>
      </c>
      <c r="C37" s="3104" t="s">
        <v>2471</v>
      </c>
      <c r="D37" s="3105"/>
      <c r="E37" s="3106">
        <v>0.6</v>
      </c>
      <c r="F37" s="3103" t="s">
        <v>2472</v>
      </c>
      <c r="G37" s="3103"/>
    </row>
    <row r="38" spans="1:7" ht="19.5" customHeight="1">
      <c r="A38" s="3799"/>
      <c r="B38" s="3795"/>
      <c r="C38" s="3104" t="s">
        <v>2473</v>
      </c>
      <c r="D38" s="3105"/>
      <c r="E38" s="3106">
        <v>0.6</v>
      </c>
      <c r="F38" s="3103" t="s">
        <v>2474</v>
      </c>
      <c r="G38" s="3103"/>
    </row>
    <row r="39" spans="1:7" ht="19.5" customHeight="1" thickBot="1">
      <c r="A39" s="3800"/>
      <c r="B39" s="379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1" t="s">
        <v>2609</v>
      </c>
      <c r="B41" s="3796" t="s">
        <v>2633</v>
      </c>
      <c r="C41" s="3100" t="s">
        <v>2478</v>
      </c>
      <c r="D41" s="3101"/>
      <c r="E41" s="3102">
        <v>1</v>
      </c>
      <c r="F41" s="3103" t="s">
        <v>2479</v>
      </c>
      <c r="G41" s="3103"/>
    </row>
    <row r="42" spans="1:7" ht="19.5" customHeight="1">
      <c r="A42" s="3802"/>
      <c r="B42" s="3795"/>
      <c r="C42" s="3104" t="s">
        <v>2480</v>
      </c>
      <c r="D42" s="3105"/>
      <c r="E42" s="3106">
        <v>1</v>
      </c>
      <c r="F42" s="3103" t="s">
        <v>2481</v>
      </c>
      <c r="G42" s="3103"/>
    </row>
    <row r="43" spans="1:7" ht="19.5" customHeight="1">
      <c r="A43" s="3802"/>
      <c r="B43" s="3794"/>
      <c r="C43" s="3104" t="s">
        <v>2482</v>
      </c>
      <c r="D43" s="3105"/>
      <c r="E43" s="3106">
        <v>1.5</v>
      </c>
      <c r="F43" s="3103" t="s">
        <v>2483</v>
      </c>
      <c r="G43" s="3103"/>
    </row>
    <row r="44" spans="1:7" ht="19.5" customHeight="1">
      <c r="A44" s="3802"/>
      <c r="B44" s="3115" t="s">
        <v>2634</v>
      </c>
      <c r="C44" s="3104" t="s">
        <v>2635</v>
      </c>
      <c r="D44" s="3105"/>
      <c r="E44" s="3106">
        <v>2</v>
      </c>
      <c r="F44" s="3103" t="s">
        <v>2484</v>
      </c>
      <c r="G44" s="3103"/>
    </row>
    <row r="45" spans="1:7" ht="19.5" customHeight="1">
      <c r="A45" s="3802"/>
      <c r="B45" s="3793" t="s">
        <v>2636</v>
      </c>
      <c r="C45" s="3104" t="s">
        <v>2485</v>
      </c>
      <c r="D45" s="3105"/>
      <c r="E45" s="3106">
        <v>1</v>
      </c>
      <c r="F45" s="3103" t="s">
        <v>2486</v>
      </c>
      <c r="G45" s="3103"/>
    </row>
    <row r="46" spans="1:7" ht="19.5" customHeight="1">
      <c r="A46" s="3802"/>
      <c r="B46" s="3795"/>
      <c r="C46" s="3104" t="s">
        <v>2487</v>
      </c>
      <c r="D46" s="3105"/>
      <c r="E46" s="3106">
        <v>1</v>
      </c>
      <c r="F46" s="3103" t="s">
        <v>2488</v>
      </c>
      <c r="G46" s="3103"/>
    </row>
    <row r="47" spans="1:7" ht="19.5" customHeight="1">
      <c r="A47" s="3802"/>
      <c r="B47" s="3795"/>
      <c r="C47" s="3104" t="s">
        <v>2489</v>
      </c>
      <c r="D47" s="3105"/>
      <c r="E47" s="3106">
        <v>1</v>
      </c>
      <c r="F47" s="3103" t="s">
        <v>2490</v>
      </c>
      <c r="G47" s="3103"/>
    </row>
    <row r="48" spans="1:7" ht="19.5" customHeight="1">
      <c r="A48" s="3802"/>
      <c r="B48" s="3795"/>
      <c r="C48" s="3104" t="s">
        <v>2491</v>
      </c>
      <c r="D48" s="3105"/>
      <c r="E48" s="3106">
        <v>1</v>
      </c>
      <c r="F48" s="3103" t="s">
        <v>2492</v>
      </c>
      <c r="G48" s="3103"/>
    </row>
    <row r="49" spans="1:7" ht="19.5" customHeight="1">
      <c r="A49" s="3802"/>
      <c r="B49" s="3795"/>
      <c r="C49" s="3104" t="s">
        <v>2493</v>
      </c>
      <c r="D49" s="3105"/>
      <c r="E49" s="3106">
        <v>1</v>
      </c>
      <c r="F49" s="3103" t="s">
        <v>2494</v>
      </c>
      <c r="G49" s="3103"/>
    </row>
    <row r="50" spans="1:7" ht="19.5" customHeight="1">
      <c r="A50" s="3802"/>
      <c r="B50" s="3795"/>
      <c r="C50" s="3104" t="s">
        <v>2495</v>
      </c>
      <c r="D50" s="3105"/>
      <c r="E50" s="3106">
        <v>1</v>
      </c>
      <c r="F50" s="3103" t="s">
        <v>2496</v>
      </c>
      <c r="G50" s="3103"/>
    </row>
    <row r="51" spans="1:7" ht="19.5" customHeight="1" thickBot="1">
      <c r="A51" s="3803"/>
      <c r="B51" s="379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
      <c r="A72" s="3115"/>
      <c r="B72" s="3115"/>
      <c r="C72" s="3115" t="s">
        <v>2649</v>
      </c>
      <c r="D72" s="3115"/>
      <c r="E72" s="3115" t="s">
        <v>2620</v>
      </c>
      <c r="F72" s="3115" t="s">
        <v>2620</v>
      </c>
    </row>
    <row r="73" spans="1:7" ht="14">
      <c r="A73" s="3115">
        <v>1</v>
      </c>
      <c r="B73" s="3793" t="s">
        <v>2650</v>
      </c>
      <c r="C73" s="3089" t="s">
        <v>2651</v>
      </c>
      <c r="D73" s="3089" t="s">
        <v>2652</v>
      </c>
      <c r="E73" s="3115">
        <v>0.2</v>
      </c>
      <c r="F73" s="3115">
        <v>25</v>
      </c>
    </row>
    <row r="74" spans="1:7" ht="26">
      <c r="A74" s="3115">
        <v>2</v>
      </c>
      <c r="B74" s="3795"/>
      <c r="C74" s="3089" t="s">
        <v>2653</v>
      </c>
      <c r="D74" s="3089" t="s">
        <v>2654</v>
      </c>
      <c r="E74" s="3115">
        <v>0.2</v>
      </c>
      <c r="F74" s="3115">
        <v>25</v>
      </c>
    </row>
    <row r="75" spans="1:7" ht="26">
      <c r="A75" s="3115">
        <v>3</v>
      </c>
      <c r="B75" s="3795"/>
      <c r="C75" s="3089" t="s">
        <v>2655</v>
      </c>
      <c r="D75" s="3089" t="s">
        <v>2656</v>
      </c>
      <c r="E75" s="3115">
        <v>0.2</v>
      </c>
      <c r="F75" s="3115">
        <v>25</v>
      </c>
    </row>
    <row r="76" spans="1:7" ht="14">
      <c r="A76" s="3115">
        <v>4</v>
      </c>
      <c r="B76" s="3795"/>
      <c r="C76" s="3089" t="s">
        <v>2657</v>
      </c>
      <c r="D76" s="3089" t="s">
        <v>2658</v>
      </c>
      <c r="E76" s="3115">
        <v>0.15</v>
      </c>
      <c r="F76" s="3115">
        <v>20</v>
      </c>
    </row>
    <row r="77" spans="1:7" ht="26">
      <c r="A77" s="3115">
        <v>5</v>
      </c>
      <c r="B77" s="3795"/>
      <c r="C77" s="3089" t="s">
        <v>2659</v>
      </c>
      <c r="D77" s="3089" t="s">
        <v>2660</v>
      </c>
      <c r="E77" s="3115">
        <v>0.15</v>
      </c>
      <c r="F77" s="3115">
        <v>20</v>
      </c>
    </row>
    <row r="78" spans="1:7" ht="26">
      <c r="A78" s="3115">
        <v>6</v>
      </c>
      <c r="B78" s="3795"/>
      <c r="C78" s="3089" t="s">
        <v>2661</v>
      </c>
      <c r="D78" s="3089" t="s">
        <v>2662</v>
      </c>
      <c r="E78" s="3115">
        <v>0.15</v>
      </c>
      <c r="F78" s="3115">
        <v>20</v>
      </c>
    </row>
    <row r="79" spans="1:7" ht="26">
      <c r="A79" s="3115">
        <v>7</v>
      </c>
      <c r="B79" s="3795"/>
      <c r="C79" s="3089" t="s">
        <v>2663</v>
      </c>
      <c r="D79" s="3089" t="s">
        <v>2664</v>
      </c>
      <c r="E79" s="3115">
        <v>0.15</v>
      </c>
      <c r="F79" s="3115">
        <v>20</v>
      </c>
    </row>
    <row r="80" spans="1:7" ht="26">
      <c r="A80" s="3115">
        <v>8</v>
      </c>
      <c r="B80" s="3795"/>
      <c r="C80" s="3089" t="s">
        <v>2665</v>
      </c>
      <c r="D80" s="3089" t="s">
        <v>2666</v>
      </c>
      <c r="E80" s="3115">
        <v>0.1</v>
      </c>
      <c r="F80" s="3115">
        <v>15</v>
      </c>
    </row>
    <row r="81" spans="1:6" ht="26">
      <c r="A81" s="3115">
        <v>9</v>
      </c>
      <c r="B81" s="3795"/>
      <c r="C81" s="3089" t="s">
        <v>2667</v>
      </c>
      <c r="D81" s="3089" t="s">
        <v>2668</v>
      </c>
      <c r="E81" s="3115">
        <v>0.1</v>
      </c>
      <c r="F81" s="3115">
        <v>15</v>
      </c>
    </row>
    <row r="82" spans="1:6" ht="26">
      <c r="A82" s="3115">
        <v>10</v>
      </c>
      <c r="B82" s="3795"/>
      <c r="C82" s="3089" t="s">
        <v>2669</v>
      </c>
      <c r="D82" s="3089" t="s">
        <v>2670</v>
      </c>
      <c r="E82" s="3115">
        <v>0.1</v>
      </c>
      <c r="F82" s="3115">
        <v>15</v>
      </c>
    </row>
    <row r="83" spans="1:6" ht="26">
      <c r="A83" s="3115">
        <v>11</v>
      </c>
      <c r="B83" s="3795"/>
      <c r="C83" s="3089" t="s">
        <v>2671</v>
      </c>
      <c r="D83" s="3089" t="s">
        <v>2672</v>
      </c>
      <c r="E83" s="3115">
        <v>0.1</v>
      </c>
      <c r="F83" s="3115">
        <v>15</v>
      </c>
    </row>
    <row r="84" spans="1:6" ht="26">
      <c r="A84" s="3115">
        <v>12</v>
      </c>
      <c r="B84" s="3795"/>
      <c r="C84" s="3089" t="s">
        <v>2673</v>
      </c>
      <c r="D84" s="3089" t="s">
        <v>2674</v>
      </c>
      <c r="E84" s="3115">
        <v>0.1</v>
      </c>
      <c r="F84" s="3115">
        <v>15</v>
      </c>
    </row>
    <row r="85" spans="1:6" ht="14">
      <c r="A85" s="3115">
        <v>13</v>
      </c>
      <c r="B85" s="3795"/>
      <c r="C85" s="3089" t="s">
        <v>2675</v>
      </c>
      <c r="D85" s="3089" t="s">
        <v>2676</v>
      </c>
      <c r="E85" s="3115">
        <v>0.1</v>
      </c>
      <c r="F85" s="3115">
        <v>15</v>
      </c>
    </row>
    <row r="86" spans="1:6" ht="14">
      <c r="A86" s="3115">
        <v>14</v>
      </c>
      <c r="B86" s="3795"/>
      <c r="C86" s="3089" t="s">
        <v>2677</v>
      </c>
      <c r="D86" s="3089" t="s">
        <v>2678</v>
      </c>
      <c r="E86" s="3115">
        <v>0.1</v>
      </c>
      <c r="F86" s="3115">
        <v>15</v>
      </c>
    </row>
    <row r="87" spans="1:6" ht="14">
      <c r="A87" s="3115">
        <v>15</v>
      </c>
      <c r="B87" s="3795"/>
      <c r="C87" s="3089" t="s">
        <v>2679</v>
      </c>
      <c r="D87" s="3089" t="s">
        <v>2680</v>
      </c>
      <c r="E87" s="3115">
        <v>0.1</v>
      </c>
      <c r="F87" s="3115">
        <v>15</v>
      </c>
    </row>
    <row r="88" spans="1:6" ht="26">
      <c r="A88" s="3115">
        <v>16</v>
      </c>
      <c r="B88" s="3795"/>
      <c r="C88" s="3089" t="s">
        <v>2681</v>
      </c>
      <c r="D88" s="3089" t="s">
        <v>2682</v>
      </c>
      <c r="E88" s="3115">
        <v>0.1</v>
      </c>
      <c r="F88" s="3115">
        <v>15</v>
      </c>
    </row>
    <row r="89" spans="1:6" ht="26">
      <c r="A89" s="3115">
        <v>17</v>
      </c>
      <c r="B89" s="3794"/>
      <c r="C89" s="3089" t="s">
        <v>2683</v>
      </c>
      <c r="D89" s="3089" t="s">
        <v>2684</v>
      </c>
      <c r="E89" s="3115">
        <v>0.1</v>
      </c>
      <c r="F89" s="3115">
        <v>15</v>
      </c>
    </row>
    <row r="90" spans="1:6" ht="14">
      <c r="A90" s="3115">
        <v>18</v>
      </c>
      <c r="B90" s="3793" t="s">
        <v>2685</v>
      </c>
      <c r="C90" s="3089" t="s">
        <v>2686</v>
      </c>
      <c r="D90" s="3089" t="s">
        <v>2687</v>
      </c>
      <c r="E90" s="3115">
        <v>0.2</v>
      </c>
      <c r="F90" s="3115">
        <v>25</v>
      </c>
    </row>
    <row r="91" spans="1:6" ht="26">
      <c r="A91" s="3115">
        <v>19</v>
      </c>
      <c r="B91" s="3795"/>
      <c r="C91" s="3089" t="s">
        <v>2688</v>
      </c>
      <c r="D91" s="3089" t="s">
        <v>2689</v>
      </c>
      <c r="E91" s="3115">
        <v>0.2</v>
      </c>
      <c r="F91" s="3115">
        <v>25</v>
      </c>
    </row>
    <row r="92" spans="1:6" ht="14">
      <c r="A92" s="3115">
        <v>20</v>
      </c>
      <c r="B92" s="3795"/>
      <c r="C92" s="3089" t="s">
        <v>2690</v>
      </c>
      <c r="D92" s="3089" t="s">
        <v>2691</v>
      </c>
      <c r="E92" s="3115">
        <v>0.15</v>
      </c>
      <c r="F92" s="3115">
        <v>20</v>
      </c>
    </row>
    <row r="93" spans="1:6" ht="26">
      <c r="A93" s="3115">
        <v>21</v>
      </c>
      <c r="B93" s="3795"/>
      <c r="C93" s="3089" t="s">
        <v>2692</v>
      </c>
      <c r="D93" s="3089" t="s">
        <v>2693</v>
      </c>
      <c r="E93" s="3115">
        <v>0.15</v>
      </c>
      <c r="F93" s="3115">
        <v>20</v>
      </c>
    </row>
    <row r="94" spans="1:6" ht="26">
      <c r="A94" s="3115">
        <v>22</v>
      </c>
      <c r="B94" s="3795"/>
      <c r="C94" s="3089" t="s">
        <v>2694</v>
      </c>
      <c r="D94" s="3089" t="s">
        <v>2695</v>
      </c>
      <c r="E94" s="3115">
        <v>0.15</v>
      </c>
      <c r="F94" s="3115">
        <v>20</v>
      </c>
    </row>
    <row r="95" spans="1:6" ht="39">
      <c r="A95" s="3115">
        <v>23</v>
      </c>
      <c r="B95" s="3795"/>
      <c r="C95" s="3089" t="s">
        <v>2696</v>
      </c>
      <c r="D95" s="3089" t="s">
        <v>2697</v>
      </c>
      <c r="E95" s="3115">
        <v>0.15</v>
      </c>
      <c r="F95" s="3115">
        <v>20</v>
      </c>
    </row>
    <row r="96" spans="1:6" ht="14">
      <c r="A96" s="3115">
        <v>24</v>
      </c>
      <c r="B96" s="3795"/>
      <c r="C96" s="3089" t="s">
        <v>2698</v>
      </c>
      <c r="D96" s="3089" t="s">
        <v>2699</v>
      </c>
      <c r="E96" s="3115">
        <v>0.1</v>
      </c>
      <c r="F96" s="3115">
        <v>15</v>
      </c>
    </row>
    <row r="97" spans="1:6" ht="26">
      <c r="A97" s="3115">
        <v>25</v>
      </c>
      <c r="B97" s="3795"/>
      <c r="C97" s="3089" t="s">
        <v>2700</v>
      </c>
      <c r="D97" s="3089" t="s">
        <v>2701</v>
      </c>
      <c r="E97" s="3115">
        <v>0.1</v>
      </c>
      <c r="F97" s="3115">
        <v>15</v>
      </c>
    </row>
    <row r="98" spans="1:6" ht="26">
      <c r="A98" s="3115">
        <v>26</v>
      </c>
      <c r="B98" s="3795"/>
      <c r="C98" s="3089" t="s">
        <v>2702</v>
      </c>
      <c r="D98" s="3089" t="s">
        <v>2703</v>
      </c>
      <c r="E98" s="3115">
        <v>0.1</v>
      </c>
      <c r="F98" s="3115">
        <v>15</v>
      </c>
    </row>
    <row r="99" spans="1:6" ht="26">
      <c r="A99" s="3115">
        <v>27</v>
      </c>
      <c r="B99" s="3795"/>
      <c r="C99" s="3089" t="s">
        <v>2704</v>
      </c>
      <c r="D99" s="3089" t="s">
        <v>2705</v>
      </c>
      <c r="E99" s="3115">
        <v>0.1</v>
      </c>
      <c r="F99" s="3115">
        <v>15</v>
      </c>
    </row>
    <row r="100" spans="1:6" ht="26">
      <c r="A100" s="3115">
        <v>28</v>
      </c>
      <c r="B100" s="3795"/>
      <c r="C100" s="3089" t="s">
        <v>2706</v>
      </c>
      <c r="D100" s="3089" t="s">
        <v>2707</v>
      </c>
      <c r="E100" s="3115">
        <v>0.1</v>
      </c>
      <c r="F100" s="3115">
        <v>15</v>
      </c>
    </row>
    <row r="101" spans="1:6" ht="26">
      <c r="A101" s="3115">
        <v>29</v>
      </c>
      <c r="B101" s="3795"/>
      <c r="C101" s="3089" t="s">
        <v>2708</v>
      </c>
      <c r="D101" s="3089" t="s">
        <v>2709</v>
      </c>
      <c r="E101" s="3115">
        <v>0.1</v>
      </c>
      <c r="F101" s="3115">
        <v>15</v>
      </c>
    </row>
    <row r="102" spans="1:6" ht="26">
      <c r="A102" s="3115">
        <v>30</v>
      </c>
      <c r="B102" s="3795"/>
      <c r="C102" s="3089" t="s">
        <v>2710</v>
      </c>
      <c r="D102" s="3089" t="s">
        <v>2711</v>
      </c>
      <c r="E102" s="3115">
        <v>0.1</v>
      </c>
      <c r="F102" s="3115">
        <v>15</v>
      </c>
    </row>
    <row r="103" spans="1:6" ht="26">
      <c r="A103" s="3115">
        <v>31</v>
      </c>
      <c r="B103" s="3795"/>
      <c r="C103" s="3089" t="s">
        <v>2712</v>
      </c>
      <c r="D103" s="3089" t="s">
        <v>2713</v>
      </c>
      <c r="E103" s="3115">
        <v>0.1</v>
      </c>
      <c r="F103" s="3115">
        <v>15</v>
      </c>
    </row>
    <row r="104" spans="1:6" ht="26">
      <c r="A104" s="3115">
        <v>32</v>
      </c>
      <c r="B104" s="3795"/>
      <c r="C104" s="3089" t="s">
        <v>2714</v>
      </c>
      <c r="D104" s="3089" t="s">
        <v>2715</v>
      </c>
      <c r="E104" s="3115">
        <v>0.1</v>
      </c>
      <c r="F104" s="3115">
        <v>15</v>
      </c>
    </row>
    <row r="105" spans="1:6" ht="26">
      <c r="A105" s="3115">
        <v>33</v>
      </c>
      <c r="B105" s="3795"/>
      <c r="C105" s="3089" t="s">
        <v>2716</v>
      </c>
      <c r="D105" s="3089" t="s">
        <v>2717</v>
      </c>
      <c r="E105" s="3115">
        <v>0.1</v>
      </c>
      <c r="F105" s="3115">
        <v>15</v>
      </c>
    </row>
    <row r="106" spans="1:6" ht="26">
      <c r="A106" s="3115">
        <v>34</v>
      </c>
      <c r="B106" s="3794"/>
      <c r="C106" s="3089" t="s">
        <v>2718</v>
      </c>
      <c r="D106" s="3089" t="s">
        <v>2719</v>
      </c>
      <c r="E106" s="3115">
        <v>0.1</v>
      </c>
      <c r="F106" s="3115">
        <v>15</v>
      </c>
    </row>
    <row r="107" spans="1:6" ht="26">
      <c r="A107" s="3115">
        <v>35</v>
      </c>
      <c r="B107" s="3793" t="s">
        <v>2720</v>
      </c>
      <c r="C107" s="3115" t="s">
        <v>2721</v>
      </c>
      <c r="D107" s="3089" t="s">
        <v>2722</v>
      </c>
      <c r="E107" s="3115">
        <v>0.15</v>
      </c>
      <c r="F107" s="3115">
        <v>20</v>
      </c>
    </row>
    <row r="108" spans="1:6" ht="26">
      <c r="A108" s="3115">
        <v>36</v>
      </c>
      <c r="B108" s="3795"/>
      <c r="C108" s="3115" t="s">
        <v>2723</v>
      </c>
      <c r="D108" s="3089" t="s">
        <v>2724</v>
      </c>
      <c r="E108" s="3115">
        <v>0.15</v>
      </c>
      <c r="F108" s="3115">
        <v>20</v>
      </c>
    </row>
    <row r="109" spans="1:6" ht="26">
      <c r="A109" s="3115">
        <v>37</v>
      </c>
      <c r="B109" s="3795"/>
      <c r="C109" s="3115" t="s">
        <v>2725</v>
      </c>
      <c r="D109" s="3089" t="s">
        <v>2726</v>
      </c>
      <c r="E109" s="3115">
        <v>0.15</v>
      </c>
      <c r="F109" s="3115">
        <v>20</v>
      </c>
    </row>
    <row r="110" spans="1:6" ht="14">
      <c r="A110" s="3115">
        <v>38</v>
      </c>
      <c r="B110" s="3795"/>
      <c r="C110" s="3115" t="s">
        <v>2727</v>
      </c>
      <c r="D110" s="3089" t="s">
        <v>2728</v>
      </c>
      <c r="E110" s="3115">
        <v>0.1</v>
      </c>
      <c r="F110" s="3115">
        <v>15</v>
      </c>
    </row>
    <row r="111" spans="1:6" ht="26">
      <c r="A111" s="3115">
        <v>39</v>
      </c>
      <c r="B111" s="3795"/>
      <c r="C111" s="3115" t="s">
        <v>2729</v>
      </c>
      <c r="D111" s="3089" t="s">
        <v>2730</v>
      </c>
      <c r="E111" s="3115">
        <v>0.1</v>
      </c>
      <c r="F111" s="3115">
        <v>15</v>
      </c>
    </row>
    <row r="112" spans="1:6" ht="26">
      <c r="A112" s="3115">
        <v>40</v>
      </c>
      <c r="B112" s="3794"/>
      <c r="C112" s="3115" t="s">
        <v>2731</v>
      </c>
      <c r="D112" s="3089" t="s">
        <v>2732</v>
      </c>
      <c r="E112" s="3115">
        <v>0.1</v>
      </c>
      <c r="F112" s="3115">
        <v>15</v>
      </c>
    </row>
    <row r="113" spans="1:6" ht="26">
      <c r="A113" s="3115">
        <v>41</v>
      </c>
      <c r="B113" s="3792" t="s">
        <v>2733</v>
      </c>
      <c r="C113" s="3115" t="s">
        <v>2734</v>
      </c>
      <c r="D113" s="3089" t="s">
        <v>2735</v>
      </c>
      <c r="E113" s="3115">
        <v>0.1</v>
      </c>
      <c r="F113" s="3115">
        <v>15</v>
      </c>
    </row>
    <row r="114" spans="1:6" ht="14">
      <c r="A114" s="3115">
        <v>42</v>
      </c>
      <c r="B114" s="3792"/>
      <c r="C114" s="3115" t="s">
        <v>2736</v>
      </c>
      <c r="D114" s="3089" t="s">
        <v>2737</v>
      </c>
      <c r="E114" s="3115">
        <v>0.1</v>
      </c>
      <c r="F114" s="3115">
        <v>15</v>
      </c>
    </row>
    <row r="115" spans="1:6" ht="26">
      <c r="A115" s="3115">
        <v>43</v>
      </c>
      <c r="B115" s="3792"/>
      <c r="C115" s="3115" t="s">
        <v>2738</v>
      </c>
      <c r="D115" s="3089" t="s">
        <v>2739</v>
      </c>
      <c r="E115" s="3115">
        <v>0.1</v>
      </c>
      <c r="F115" s="3115">
        <v>15</v>
      </c>
    </row>
    <row r="116" spans="1:6" ht="26">
      <c r="A116" s="3115">
        <v>44</v>
      </c>
      <c r="B116" s="3793" t="s">
        <v>2740</v>
      </c>
      <c r="C116" s="3115" t="s">
        <v>2741</v>
      </c>
      <c r="D116" s="3089" t="s">
        <v>2742</v>
      </c>
      <c r="E116" s="3115">
        <v>0.1</v>
      </c>
      <c r="F116" s="3115">
        <v>15</v>
      </c>
    </row>
    <row r="117" spans="1:6" ht="26">
      <c r="A117" s="3115">
        <v>45</v>
      </c>
      <c r="B117" s="3794"/>
      <c r="C117" s="3089" t="s">
        <v>2743</v>
      </c>
      <c r="D117" s="3089" t="s">
        <v>2744</v>
      </c>
      <c r="E117" s="3115">
        <v>0.1</v>
      </c>
      <c r="F117" s="3115">
        <v>15</v>
      </c>
    </row>
    <row r="118" spans="1:6" ht="26">
      <c r="A118" s="3115">
        <v>46</v>
      </c>
      <c r="B118" s="3793" t="s">
        <v>2745</v>
      </c>
      <c r="C118" s="3115" t="s">
        <v>2746</v>
      </c>
      <c r="D118" s="3089" t="s">
        <v>2747</v>
      </c>
      <c r="E118" s="3115">
        <v>0.1</v>
      </c>
      <c r="F118" s="3115">
        <v>15</v>
      </c>
    </row>
    <row r="119" spans="1:6" ht="26">
      <c r="A119" s="3115">
        <v>47</v>
      </c>
      <c r="B119" s="3794"/>
      <c r="C119" s="3115" t="s">
        <v>2748</v>
      </c>
      <c r="D119" s="3089" t="s">
        <v>2749</v>
      </c>
      <c r="E119" s="3115">
        <v>0.1</v>
      </c>
      <c r="F119" s="3115">
        <v>15</v>
      </c>
    </row>
    <row r="120" spans="1:6" ht="26">
      <c r="A120" s="3115">
        <v>48</v>
      </c>
      <c r="B120" s="3793" t="s">
        <v>2750</v>
      </c>
      <c r="C120" s="3115" t="s">
        <v>2751</v>
      </c>
      <c r="D120" s="3089" t="s">
        <v>2752</v>
      </c>
      <c r="E120" s="3115">
        <v>0.1</v>
      </c>
      <c r="F120" s="3115">
        <v>15</v>
      </c>
    </row>
    <row r="121" spans="1:6" ht="14">
      <c r="A121" s="3115">
        <v>49</v>
      </c>
      <c r="B121" s="3794"/>
      <c r="C121" s="3115" t="s">
        <v>2753</v>
      </c>
      <c r="D121" s="3089" t="s">
        <v>2754</v>
      </c>
      <c r="E121" s="3115">
        <v>0.1</v>
      </c>
      <c r="F121" s="3115">
        <v>15</v>
      </c>
    </row>
    <row r="122" spans="1:6" ht="26">
      <c r="A122" s="3115">
        <v>50</v>
      </c>
      <c r="B122" s="3792" t="s">
        <v>2755</v>
      </c>
      <c r="C122" s="3115" t="s">
        <v>2756</v>
      </c>
      <c r="D122" s="3089" t="s">
        <v>2757</v>
      </c>
      <c r="E122" s="3115">
        <v>0.1</v>
      </c>
      <c r="F122" s="3115">
        <v>15</v>
      </c>
    </row>
    <row r="123" spans="1:6" ht="26">
      <c r="A123" s="3115">
        <v>51</v>
      </c>
      <c r="B123" s="3792"/>
      <c r="C123" s="3115" t="s">
        <v>2758</v>
      </c>
      <c r="D123" s="3089" t="s">
        <v>2759</v>
      </c>
      <c r="E123" s="3115">
        <v>0.1</v>
      </c>
      <c r="F123" s="3115">
        <v>15</v>
      </c>
    </row>
    <row r="124" spans="1:6" ht="26">
      <c r="A124" s="3115">
        <v>52</v>
      </c>
      <c r="B124" s="3792" t="s">
        <v>2760</v>
      </c>
      <c r="C124" s="3115" t="s">
        <v>2761</v>
      </c>
      <c r="D124" s="3089" t="s">
        <v>2762</v>
      </c>
      <c r="E124" s="3115">
        <v>0.1</v>
      </c>
      <c r="F124" s="3115">
        <v>15</v>
      </c>
    </row>
    <row r="125" spans="1:6" ht="26">
      <c r="A125" s="3115">
        <v>53</v>
      </c>
      <c r="B125" s="3792"/>
      <c r="C125" s="3115" t="s">
        <v>2763</v>
      </c>
      <c r="D125" s="3089" t="s">
        <v>2764</v>
      </c>
      <c r="E125" s="3115">
        <v>0.1</v>
      </c>
      <c r="F125" s="3115">
        <v>15</v>
      </c>
    </row>
    <row r="126" spans="1:6" ht="26">
      <c r="A126" s="3115">
        <v>54</v>
      </c>
      <c r="B126" s="3115" t="s">
        <v>2765</v>
      </c>
      <c r="C126" s="3115" t="s">
        <v>2766</v>
      </c>
      <c r="D126" s="3089" t="s">
        <v>2767</v>
      </c>
      <c r="E126" s="3115">
        <v>0.1</v>
      </c>
      <c r="F126" s="3115">
        <v>15</v>
      </c>
    </row>
    <row r="127" spans="1:6" ht="14">
      <c r="A127" s="3115">
        <v>55</v>
      </c>
      <c r="B127" s="3792" t="s">
        <v>2768</v>
      </c>
      <c r="C127" s="3115" t="s">
        <v>2769</v>
      </c>
      <c r="D127" s="3089" t="s">
        <v>2770</v>
      </c>
      <c r="E127" s="3115">
        <v>0.1</v>
      </c>
      <c r="F127" s="3115">
        <v>15</v>
      </c>
    </row>
    <row r="128" spans="1:6" ht="14">
      <c r="A128" s="3115">
        <v>56</v>
      </c>
      <c r="B128" s="3792"/>
      <c r="C128" s="3115" t="s">
        <v>2771</v>
      </c>
      <c r="D128" s="3089" t="s">
        <v>2772</v>
      </c>
      <c r="E128" s="3115">
        <v>0.1</v>
      </c>
      <c r="F128" s="3115">
        <v>15</v>
      </c>
    </row>
    <row r="129" spans="1:6" ht="26">
      <c r="A129" s="3115">
        <v>57</v>
      </c>
      <c r="B129" s="3792"/>
      <c r="C129" s="3115" t="s">
        <v>2773</v>
      </c>
      <c r="D129" s="3089" t="s">
        <v>2774</v>
      </c>
      <c r="E129" s="3115">
        <v>0.1</v>
      </c>
      <c r="F129" s="3115">
        <v>15</v>
      </c>
    </row>
    <row r="130" spans="1:6" ht="26">
      <c r="A130" s="3115">
        <v>58</v>
      </c>
      <c r="B130" s="3792" t="s">
        <v>2775</v>
      </c>
      <c r="C130" s="3115" t="s">
        <v>2776</v>
      </c>
      <c r="D130" s="3089" t="s">
        <v>2777</v>
      </c>
      <c r="E130" s="3115">
        <v>0.1</v>
      </c>
      <c r="F130" s="3115">
        <v>15</v>
      </c>
    </row>
    <row r="131" spans="1:6" ht="26">
      <c r="A131" s="3115">
        <v>59</v>
      </c>
      <c r="B131" s="3792"/>
      <c r="C131" s="3115" t="s">
        <v>2778</v>
      </c>
      <c r="D131" s="3089" t="s">
        <v>2779</v>
      </c>
      <c r="E131" s="3115">
        <v>0.1</v>
      </c>
      <c r="F131" s="3115">
        <v>15</v>
      </c>
    </row>
    <row r="132" spans="1:6" ht="26">
      <c r="A132" s="3115">
        <v>60</v>
      </c>
      <c r="B132" s="3793" t="s">
        <v>2780</v>
      </c>
      <c r="C132" s="3115" t="s">
        <v>2781</v>
      </c>
      <c r="D132" s="3089" t="s">
        <v>2782</v>
      </c>
      <c r="E132" s="3115">
        <v>0.1</v>
      </c>
      <c r="F132" s="3115">
        <v>15</v>
      </c>
    </row>
    <row r="133" spans="1:6" ht="26">
      <c r="A133" s="3115">
        <v>61</v>
      </c>
      <c r="B133" s="3794"/>
      <c r="C133" s="3115" t="s">
        <v>2783</v>
      </c>
      <c r="D133" s="3089" t="s">
        <v>2784</v>
      </c>
      <c r="E133" s="3115">
        <v>0.1</v>
      </c>
      <c r="F133" s="3115">
        <v>15</v>
      </c>
    </row>
    <row r="134" spans="1:6" ht="26">
      <c r="A134" s="3115">
        <v>62</v>
      </c>
      <c r="B134" s="3115" t="s">
        <v>2785</v>
      </c>
      <c r="C134" s="3115" t="s">
        <v>2786</v>
      </c>
      <c r="D134" s="3089" t="s">
        <v>2787</v>
      </c>
      <c r="E134" s="3115">
        <v>0.1</v>
      </c>
      <c r="F134" s="3115">
        <v>15</v>
      </c>
    </row>
    <row r="135" spans="1:6" ht="26">
      <c r="A135" s="3115">
        <v>63</v>
      </c>
      <c r="B135" s="3792" t="s">
        <v>2788</v>
      </c>
      <c r="C135" s="3115" t="s">
        <v>2789</v>
      </c>
      <c r="D135" s="3089" t="s">
        <v>2790</v>
      </c>
      <c r="E135" s="3115">
        <v>0.1</v>
      </c>
      <c r="F135" s="3115">
        <v>15</v>
      </c>
    </row>
    <row r="136" spans="1:6" ht="14">
      <c r="A136" s="3115">
        <v>64</v>
      </c>
      <c r="B136" s="3792"/>
      <c r="C136" s="3115" t="s">
        <v>2791</v>
      </c>
      <c r="D136" s="3089" t="s">
        <v>2792</v>
      </c>
      <c r="E136" s="3115">
        <v>0.1</v>
      </c>
      <c r="F136" s="3115">
        <v>15</v>
      </c>
    </row>
    <row r="137" spans="1:6" ht="26">
      <c r="A137" s="3115">
        <v>65</v>
      </c>
      <c r="B137" s="3115" t="s">
        <v>2793</v>
      </c>
      <c r="C137" s="3115" t="s">
        <v>2794</v>
      </c>
      <c r="D137" s="3089" t="s">
        <v>2795</v>
      </c>
      <c r="E137" s="3115">
        <v>0.1</v>
      </c>
      <c r="F137" s="3115">
        <v>15</v>
      </c>
    </row>
    <row r="138" spans="1:6" ht="14">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3138"/>
    <col min="14" max="16384" width="9" style="749"/>
  </cols>
  <sheetData>
    <row r="1" spans="1:20" ht="15.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91" customWidth="1"/>
    <col min="2" max="2" width="37.26953125" style="1491" customWidth="1"/>
    <col min="3" max="3" width="11.36328125" style="1491" customWidth="1"/>
    <col min="4" max="4" width="31.7265625" style="1491" customWidth="1"/>
    <col min="5" max="5" width="0.453125" style="1491" customWidth="1"/>
    <col min="6" max="7" width="13" style="1491" customWidth="1"/>
    <col min="8" max="16384" width="9" style="1491"/>
  </cols>
  <sheetData>
    <row r="1" spans="1:5" ht="18">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8.5" thickBot="1">
      <c r="A4" s="1492"/>
      <c r="B4" s="3487" t="s">
        <v>917</v>
      </c>
      <c r="C4" s="3487"/>
      <c r="D4" s="3487"/>
      <c r="E4" s="1492"/>
    </row>
    <row r="5" spans="1:5" ht="16" thickTop="1">
      <c r="A5" s="1490"/>
      <c r="B5" s="3485" t="s">
        <v>909</v>
      </c>
      <c r="C5" s="1493" t="s">
        <v>910</v>
      </c>
      <c r="D5" s="849">
        <f ca="1">结果表!H101</f>
        <v>326</v>
      </c>
      <c r="E5" s="1490"/>
    </row>
    <row r="6" spans="1:5" ht="15.5">
      <c r="A6" s="1490"/>
      <c r="B6" s="3485"/>
      <c r="C6" s="1493" t="s">
        <v>911</v>
      </c>
      <c r="D6" s="849" t="str">
        <f ca="1">NUMBERSTRING(INT(D5*10000),2)&amp;"元整"</f>
        <v>叁佰贰拾陆万元整</v>
      </c>
      <c r="E6" s="1490"/>
    </row>
    <row r="7" spans="1:5" ht="15.5">
      <c r="A7" s="1490"/>
      <c r="B7" s="3490"/>
      <c r="C7" s="1494" t="s">
        <v>912</v>
      </c>
      <c r="D7" s="850">
        <f ca="1">结果表!H102</f>
        <v>22005</v>
      </c>
      <c r="E7" s="1490"/>
    </row>
    <row r="8" spans="1:5" ht="15.5">
      <c r="A8" s="1490"/>
      <c r="B8" s="3491" t="str">
        <f>结果表!E103</f>
        <v>2.估价师知悉的法定优先受偿款</v>
      </c>
      <c r="C8" s="1495" t="s">
        <v>913</v>
      </c>
      <c r="D8" s="850">
        <f>结果表!H103</f>
        <v>0</v>
      </c>
      <c r="E8" s="1490"/>
    </row>
    <row r="9" spans="1:5" ht="15.5">
      <c r="A9" s="1490"/>
      <c r="B9" s="3493"/>
      <c r="C9" s="1493" t="s">
        <v>911</v>
      </c>
      <c r="D9" s="849" t="str">
        <f>NUMBERSTRING(INT(D8*10000),2)&amp;"元整"</f>
        <v>零元整</v>
      </c>
      <c r="E9" s="1490"/>
    </row>
    <row r="10" spans="1:5" ht="16">
      <c r="A10" s="1490"/>
      <c r="B10" s="1496" t="s">
        <v>916</v>
      </c>
      <c r="C10" s="1497" t="s">
        <v>914</v>
      </c>
      <c r="D10" s="851">
        <f>结果表!H104</f>
        <v>0</v>
      </c>
      <c r="E10" s="1490"/>
    </row>
    <row r="11" spans="1:5" ht="16">
      <c r="A11" s="1490"/>
      <c r="B11" s="1496" t="s">
        <v>918</v>
      </c>
      <c r="C11" s="1497" t="s">
        <v>919</v>
      </c>
      <c r="D11" s="851">
        <f>结果表!H105</f>
        <v>0</v>
      </c>
      <c r="E11" s="1490"/>
    </row>
    <row r="12" spans="1:5" ht="16">
      <c r="A12" s="1490"/>
      <c r="B12" s="1496" t="s">
        <v>920</v>
      </c>
      <c r="C12" s="1497" t="s">
        <v>919</v>
      </c>
      <c r="D12" s="851">
        <f>结果表!H106</f>
        <v>0</v>
      </c>
      <c r="E12" s="1490"/>
    </row>
    <row r="13" spans="1:5" ht="15.5">
      <c r="A13" s="1490"/>
      <c r="B13" s="3484" t="str">
        <f>结果表!E107</f>
        <v>3.房地产抵押价值</v>
      </c>
      <c r="C13" s="1498" t="s">
        <v>910</v>
      </c>
      <c r="D13" s="852">
        <f ca="1">结果表!H107</f>
        <v>326</v>
      </c>
      <c r="E13" s="1490"/>
    </row>
    <row r="14" spans="1:5" ht="15.5">
      <c r="A14" s="1490"/>
      <c r="B14" s="3485"/>
      <c r="C14" s="1493" t="s">
        <v>911</v>
      </c>
      <c r="D14" s="849" t="str">
        <f ca="1">NUMBERSTRING(INT(D13*10000),2)&amp;"元整"</f>
        <v>叁佰贰拾陆万元整</v>
      </c>
      <c r="E14" s="1490"/>
    </row>
    <row r="15" spans="1:5" ht="15.5">
      <c r="A15" s="1490"/>
      <c r="B15" s="3490"/>
      <c r="C15" s="1494" t="s">
        <v>921</v>
      </c>
      <c r="D15" s="858">
        <f ca="1">结果表!H108</f>
        <v>22005</v>
      </c>
      <c r="E15" s="1490"/>
    </row>
    <row r="16" spans="1:5" ht="15">
      <c r="A16" s="1490"/>
      <c r="B16" s="3491" t="str">
        <f>结果表!E109</f>
        <v>——</v>
      </c>
      <c r="C16" s="1498" t="s">
        <v>922</v>
      </c>
      <c r="D16" s="1499" t="str">
        <f>结果表!H109</f>
        <v>——</v>
      </c>
      <c r="E16" s="1490"/>
    </row>
    <row r="17" spans="1:5" ht="15.5">
      <c r="A17" s="1490"/>
      <c r="B17" s="3492"/>
      <c r="C17" s="1493" t="s">
        <v>923</v>
      </c>
      <c r="D17" s="849" t="e">
        <f>NUMBERSTRING(INT(D16*10000),2)&amp;"元整"</f>
        <v>#VALUE!</v>
      </c>
      <c r="E17" s="1490"/>
    </row>
    <row r="18" spans="1:5" ht="15.5">
      <c r="A18" s="1490"/>
      <c r="B18" s="3493"/>
      <c r="C18" s="1494" t="s">
        <v>912</v>
      </c>
      <c r="D18" s="858" t="str">
        <f>结果表!H110</f>
        <v>——</v>
      </c>
      <c r="E18" s="1490"/>
    </row>
    <row r="19" spans="1:5" ht="15.5">
      <c r="A19" s="1490"/>
      <c r="B19" s="3484" t="str">
        <f>结果表!E111</f>
        <v>——</v>
      </c>
      <c r="C19" s="1498" t="s">
        <v>910</v>
      </c>
      <c r="D19" s="850" t="str">
        <f>结果表!H111</f>
        <v>——</v>
      </c>
      <c r="E19" s="1490"/>
    </row>
    <row r="20" spans="1:5" ht="15.5">
      <c r="A20" s="1490"/>
      <c r="B20" s="3485"/>
      <c r="C20" s="1493" t="s">
        <v>923</v>
      </c>
      <c r="D20" s="849" t="e">
        <f>NUMBERSTRING(INT(D19*10000),2)&amp;"元整"</f>
        <v>#VALUE!</v>
      </c>
      <c r="E20" s="1490"/>
    </row>
    <row r="21" spans="1:5" ht="16" thickBot="1">
      <c r="A21" s="1490"/>
      <c r="B21" s="3486"/>
      <c r="C21" s="1500" t="s">
        <v>921</v>
      </c>
      <c r="D21" s="859" t="str">
        <f>结果表!H112</f>
        <v>——</v>
      </c>
      <c r="E21" s="1490"/>
    </row>
    <row r="22" spans="1:5" ht="14.5" thickTop="1">
      <c r="A22" s="1490"/>
      <c r="B22" s="1501" t="s">
        <v>924</v>
      </c>
      <c r="C22" s="1490"/>
      <c r="D22" s="1490"/>
      <c r="E22" s="1490"/>
    </row>
    <row r="23" spans="1:5">
      <c r="A23" s="1490"/>
      <c r="B23" s="1490"/>
      <c r="C23" s="1490"/>
      <c r="D23" s="1490"/>
      <c r="E23" s="1490"/>
    </row>
    <row r="24" spans="1:5" ht="1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7" s="200" customFormat="1" ht="21">
      <c r="A1" s="196" t="s">
        <v>56</v>
      </c>
      <c r="B1" s="197"/>
      <c r="C1" s="198"/>
      <c r="D1" s="198"/>
      <c r="E1" s="198"/>
      <c r="F1" s="198"/>
      <c r="G1" s="199"/>
    </row>
    <row r="2" spans="1:7" s="200" customFormat="1" ht="18" customHeight="1">
      <c r="A2" s="201" t="s">
        <v>57</v>
      </c>
      <c r="B2" s="202">
        <f ca="1">C52</f>
        <v>27654</v>
      </c>
      <c r="C2" s="2" t="s">
        <v>106</v>
      </c>
      <c r="D2" s="199"/>
      <c r="E2" s="199"/>
      <c r="F2" s="199"/>
      <c r="G2" s="199"/>
    </row>
    <row r="3" spans="1:7" s="200" customFormat="1" ht="18" customHeight="1" thickBot="1">
      <c r="A3" s="203" t="s">
        <v>58</v>
      </c>
      <c r="B3" s="204">
        <f ca="1">ROUND(B2*10000/'数据-汇总表'!E3,0)</f>
        <v>1867000</v>
      </c>
      <c r="C3" s="2" t="s">
        <v>107</v>
      </c>
      <c r="D3" s="199"/>
      <c r="E3" s="199"/>
      <c r="F3" s="199"/>
      <c r="G3" s="199"/>
    </row>
    <row r="4" spans="1:7" s="208" customFormat="1" ht="16">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ht="13">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148.12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148.12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6">
      <c r="A25" s="779" t="s">
        <v>348</v>
      </c>
      <c r="B25" s="215" t="s">
        <v>420</v>
      </c>
      <c r="C25" s="1104">
        <f ca="1">ROUND(IF('数据-取费表'!B22&lt;=1,C20*F22*'数据-取费表'!B23/2,C20*(POWER((1+F22),'数据-取费表'!B23/2)-1)),0)</f>
        <v>13</v>
      </c>
      <c r="D25" s="238"/>
      <c r="E25" s="241"/>
      <c r="F25" s="239"/>
      <c r="G25" s="242" t="s">
        <v>83</v>
      </c>
    </row>
    <row r="26" spans="1:7" s="214" customFormat="1" ht="13">
      <c r="A26" s="779" t="s">
        <v>350</v>
      </c>
      <c r="B26" s="215" t="s">
        <v>422</v>
      </c>
      <c r="C26" s="238">
        <f ca="1">ROUND(IF('数据-取费表'!B22&lt;=1,F21*F22*'数据-取费表'!B23/2,F21*(POWER((1+F22),'数据-取费表'!B23/2)-1)),4)</f>
        <v>5.9999999999999995E-4</v>
      </c>
      <c r="D26" s="238"/>
      <c r="E26" s="241"/>
      <c r="F26" s="239"/>
      <c r="G26" s="243"/>
    </row>
    <row r="27" spans="1:7" s="214" customFormat="1" ht="27">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27586</v>
      </c>
      <c r="D31" s="230"/>
      <c r="E31" s="211"/>
      <c r="F31" s="250"/>
      <c r="G31" s="234" t="s">
        <v>432</v>
      </c>
    </row>
    <row r="32" spans="1:7" s="208" customFormat="1" ht="16">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0.05</v>
      </c>
      <c r="G35" s="219" t="s">
        <v>90</v>
      </c>
    </row>
    <row r="36" spans="1:7" ht="26">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148.12</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82</v>
      </c>
      <c r="D49" s="232"/>
      <c r="E49" s="232"/>
      <c r="F49" s="264"/>
      <c r="G49" s="234" t="s">
        <v>435</v>
      </c>
    </row>
    <row r="50" spans="1:7" s="258" customFormat="1" ht="26">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68</v>
      </c>
      <c r="D51" s="232"/>
      <c r="E51" s="232"/>
      <c r="F51" s="264"/>
      <c r="G51" s="234" t="s">
        <v>37</v>
      </c>
    </row>
    <row r="52" spans="1:7" s="208" customFormat="1" ht="16.5" thickBot="1">
      <c r="A52" s="265" t="s">
        <v>38</v>
      </c>
      <c r="B52" s="266"/>
      <c r="C52" s="267">
        <f ca="1">C31+C51</f>
        <v>27654</v>
      </c>
      <c r="D52" s="266"/>
      <c r="E52" s="266"/>
      <c r="F52" s="266"/>
      <c r="G52" s="268"/>
    </row>
    <row r="55" spans="1:7" ht="15.5">
      <c r="B55" s="270" t="s">
        <v>39</v>
      </c>
      <c r="C55" s="271"/>
    </row>
    <row r="56" spans="1:7" ht="13">
      <c r="B56" s="273" t="s">
        <v>40</v>
      </c>
      <c r="C56" s="274">
        <f ca="1">ROUND(C51/C52,3)</f>
        <v>2E-3</v>
      </c>
    </row>
    <row r="57" spans="1:7" ht="13">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223" customWidth="1"/>
    <col min="2" max="2" width="18.6328125" style="3223" customWidth="1"/>
    <col min="3" max="6" width="10.26953125" style="3223" customWidth="1"/>
    <col min="7" max="7" width="10.453125" style="3223" bestFit="1" customWidth="1"/>
    <col min="8" max="8" width="8.90625" style="3219"/>
    <col min="9" max="9" width="13.36328125" style="3219" customWidth="1"/>
    <col min="10" max="13" width="13.36328125" style="3223" customWidth="1"/>
    <col min="14" max="14" width="18.26953125" style="3223" customWidth="1"/>
    <col min="15" max="17" width="15.08984375" style="3223" customWidth="1"/>
    <col min="18" max="20" width="11.453125" style="3223" customWidth="1"/>
    <col min="21" max="16384" width="8.90625" style="3223"/>
  </cols>
  <sheetData>
    <row r="1" spans="1:20" ht="12.5" thickBot="1">
      <c r="A1" s="3806" t="s">
        <v>2838</v>
      </c>
      <c r="B1" s="3806"/>
      <c r="C1" s="3806"/>
      <c r="D1" s="3806"/>
      <c r="E1" s="3806"/>
      <c r="F1" s="3806"/>
      <c r="G1" s="380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5"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5" thickBot="1">
      <c r="A4" s="380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5"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5"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5"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5"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286" customWidth="1"/>
    <col min="2" max="2" width="20" style="3286" customWidth="1"/>
    <col min="3" max="7" width="8.90625" style="3250"/>
    <col min="8" max="16384" width="8.90625" style="3251"/>
  </cols>
  <sheetData>
    <row r="1" spans="1:7">
      <c r="A1" s="3808" t="s">
        <v>3180</v>
      </c>
      <c r="B1" s="3808"/>
    </row>
    <row r="2" spans="1:7" ht="14.5" thickBot="1">
      <c r="A2" s="3252"/>
      <c r="B2" s="3252"/>
    </row>
    <row r="3" spans="1:7" ht="14.5" thickBot="1">
      <c r="A3" s="3252"/>
      <c r="B3" s="3252"/>
      <c r="C3" s="3253" t="s">
        <v>2810</v>
      </c>
      <c r="D3" s="3253" t="s">
        <v>2866</v>
      </c>
      <c r="E3" s="3253" t="s">
        <v>2812</v>
      </c>
      <c r="F3" s="3253" t="s">
        <v>2867</v>
      </c>
      <c r="G3" s="3253" t="s">
        <v>2630</v>
      </c>
    </row>
    <row r="4" spans="1:7" ht="14.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3287"/>
  </cols>
  <sheetData>
    <row r="1" spans="1:6">
      <c r="A1" s="3809" t="s">
        <v>3231</v>
      </c>
      <c r="B1" s="3809"/>
      <c r="C1" s="3809"/>
      <c r="D1" s="3809"/>
      <c r="E1" s="3809"/>
      <c r="F1" s="381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
  <cols>
    <col min="1" max="1" width="13.90625" customWidth="1"/>
    <col min="11" max="17" width="0" hidden="1" customWidth="1"/>
    <col min="25" max="30" width="0" hidden="1" customWidth="1"/>
  </cols>
  <sheetData>
    <row r="1" spans="1:30">
      <c r="A1" s="3218">
        <f>基准地价修正!G23</f>
        <v>45716</v>
      </c>
      <c r="B1" s="3207" t="s">
        <v>3377</v>
      </c>
      <c r="C1" s="3208"/>
      <c r="D1" s="3208"/>
      <c r="E1" s="3208"/>
      <c r="F1" s="3208"/>
      <c r="G1" s="3208"/>
      <c r="H1" s="3208"/>
      <c r="I1" s="3208"/>
      <c r="J1" s="3162"/>
      <c r="K1" s="3208" t="s">
        <v>454</v>
      </c>
      <c r="L1" s="3208"/>
      <c r="M1" s="3208"/>
      <c r="N1" s="3208"/>
      <c r="O1" s="3208"/>
      <c r="P1" s="3208"/>
      <c r="Q1" s="3162"/>
      <c r="R1" s="3811" t="s">
        <v>456</v>
      </c>
      <c r="S1" s="3812"/>
      <c r="T1" s="3812"/>
      <c r="U1" s="3812"/>
      <c r="V1" s="3812"/>
      <c r="W1" s="3812"/>
      <c r="X1" s="3162"/>
      <c r="Y1" s="3811" t="s">
        <v>457</v>
      </c>
      <c r="Z1" s="3812"/>
      <c r="AA1" s="3812"/>
      <c r="AB1" s="3812"/>
      <c r="AC1" s="3812"/>
      <c r="AD1" s="3812"/>
    </row>
    <row r="2" spans="1:30" s="3140" customFormat="1" ht="14.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5"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5" thickTop="1"/>
    <row r="23" spans="1:30" s="3006" customFormat="1">
      <c r="A23" s="3445" t="s">
        <v>3380</v>
      </c>
    </row>
    <row r="24" spans="1:30" s="3006" customFormat="1">
      <c r="I24" s="3205" t="s">
        <v>2824</v>
      </c>
    </row>
    <row r="25" spans="1:30" s="3006" customFormat="1"/>
    <row r="26" spans="1:30" s="3206" customFormat="1" ht="13">
      <c r="B26" s="3207" t="s">
        <v>3378</v>
      </c>
      <c r="C26" s="3208"/>
      <c r="D26" s="3208"/>
      <c r="E26" s="3208"/>
      <c r="F26" s="3208"/>
      <c r="G26" s="3208"/>
      <c r="H26" s="3208"/>
      <c r="I26" s="3208"/>
      <c r="J26" s="3162"/>
      <c r="K26" s="3208" t="s">
        <v>2825</v>
      </c>
      <c r="L26" s="3208"/>
      <c r="M26" s="3208"/>
      <c r="N26" s="3208"/>
      <c r="O26" s="3208"/>
      <c r="P26" s="3208"/>
      <c r="Q26" s="3162"/>
      <c r="R26" s="3811" t="s">
        <v>2826</v>
      </c>
      <c r="S26" s="3812"/>
      <c r="T26" s="3812"/>
      <c r="U26" s="3812"/>
      <c r="V26" s="3812"/>
      <c r="W26" s="3812"/>
      <c r="X26" s="3162"/>
      <c r="Y26" s="3811" t="s">
        <v>2827</v>
      </c>
      <c r="Z26" s="3812"/>
      <c r="AA26" s="3812"/>
      <c r="AB26" s="3812"/>
      <c r="AC26" s="3812"/>
      <c r="AD26" s="3812"/>
    </row>
    <row r="27" spans="1:30" s="3140" customFormat="1" ht="14.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5"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5"/>
  <cols>
    <col min="1" max="1" width="9" style="2191"/>
    <col min="2" max="6" width="9" style="2191" customWidth="1"/>
    <col min="7" max="7" width="9" style="2229"/>
    <col min="8" max="8" width="9" style="2191"/>
    <col min="9" max="12" width="9" style="2191" customWidth="1"/>
    <col min="13" max="13" width="2.26953125" style="2191" customWidth="1"/>
    <col min="14" max="14" width="9" style="2229" customWidth="1"/>
    <col min="15" max="17" width="9" style="2191" customWidth="1"/>
    <col min="18" max="18" width="2.36328125" style="2191" customWidth="1"/>
    <col min="19" max="19" width="7.08984375" style="2229" customWidth="1"/>
    <col min="20" max="22" width="7.08984375" style="2191" customWidth="1"/>
    <col min="23" max="23" width="24.26953125" style="2191" customWidth="1"/>
    <col min="24" max="25" width="9" style="2191"/>
    <col min="26" max="27" width="11.6328125" style="2191" customWidth="1"/>
    <col min="28" max="28" width="9" style="2191"/>
    <col min="29" max="29" width="2" style="2191" customWidth="1"/>
    <col min="30" max="16384" width="9" style="2191"/>
  </cols>
  <sheetData>
    <row r="1" spans="1:34" s="2170" customFormat="1" ht="13">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1" customFormat="1" ht="14.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ht="13">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ht="13">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ht="13">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ht="13">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ht="13">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ht="13">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ht="13">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ht="13">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ht="13">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ht="13">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ht="13">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ht="13">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ht="13">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ht="13">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ht="13">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ht="13">
      <c r="A25" s="2204" t="s">
        <v>2110</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ht="13">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ht="13">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 thickBot="1">
      <c r="A48" s="2204" t="s">
        <v>472</v>
      </c>
      <c r="B48" s="2205">
        <f>B47/(1+N47)</f>
        <v>275.19025476197027</v>
      </c>
      <c r="C48" s="2256">
        <v>232</v>
      </c>
      <c r="D48" s="2256">
        <f t="shared" si="246"/>
        <v>232</v>
      </c>
      <c r="E48" s="2205">
        <f t="shared" si="257"/>
        <v>375.65990977608692</v>
      </c>
      <c r="F48" s="2205">
        <f t="shared" si="257"/>
        <v>214.12518283971252</v>
      </c>
      <c r="G48" s="381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4">
        <v>2003</v>
      </c>
      <c r="H83" s="2217">
        <v>2</v>
      </c>
      <c r="I83" s="2276"/>
      <c r="J83" s="2276"/>
      <c r="K83" s="2276"/>
      <c r="L83" s="2276"/>
      <c r="X83" s="2268"/>
      <c r="Y83" s="2268"/>
      <c r="Z83" s="2268"/>
    </row>
    <row r="84" spans="1:26" ht="13" thickBot="1">
      <c r="A84" s="2204" t="s">
        <v>508</v>
      </c>
      <c r="B84" s="2278">
        <f t="shared" si="282"/>
        <v>107.25</v>
      </c>
      <c r="C84" s="2278">
        <f t="shared" si="282"/>
        <v>108.75</v>
      </c>
      <c r="D84" s="2278">
        <f t="shared" si="246"/>
        <v>108.75</v>
      </c>
      <c r="E84" s="2278">
        <f t="shared" si="283"/>
        <v>105.75</v>
      </c>
      <c r="F84" s="2278">
        <f t="shared" si="283"/>
        <v>102.5</v>
      </c>
      <c r="G84" s="381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4">
        <v>2002</v>
      </c>
      <c r="H87" s="2217">
        <v>2</v>
      </c>
      <c r="I87" s="2276"/>
      <c r="J87" s="2276"/>
      <c r="K87" s="2276"/>
      <c r="L87" s="2276"/>
      <c r="X87" s="2268"/>
      <c r="Y87" s="2268"/>
      <c r="Z87" s="2268"/>
    </row>
    <row r="88" spans="1:26" s="2241" customFormat="1" ht="13" thickBot="1">
      <c r="A88" s="2237" t="s">
        <v>512</v>
      </c>
      <c r="B88" s="2244">
        <f t="shared" si="284"/>
        <v>103</v>
      </c>
      <c r="C88" s="2244">
        <f t="shared" si="284"/>
        <v>104</v>
      </c>
      <c r="D88" s="2244">
        <f t="shared" si="246"/>
        <v>104</v>
      </c>
      <c r="E88" s="2244">
        <f t="shared" si="285"/>
        <v>103.5</v>
      </c>
      <c r="F88" s="2244">
        <f t="shared" si="285"/>
        <v>100.5</v>
      </c>
      <c r="G88" s="381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ht="13">
      <c r="A91" s="2289" t="s">
        <v>513</v>
      </c>
      <c r="G91" s="2291"/>
      <c r="N91" s="2291"/>
      <c r="S91" s="2291"/>
    </row>
    <row r="92" spans="1:26" s="2290" customFormat="1" ht="13">
      <c r="A92" s="2290" t="s">
        <v>514</v>
      </c>
      <c r="G92" s="2291"/>
      <c r="N92" s="2291"/>
      <c r="S92" s="2291"/>
    </row>
    <row r="93" spans="1:26" s="2290" customFormat="1" ht="13">
      <c r="A93" s="2290" t="s">
        <v>515</v>
      </c>
      <c r="G93" s="2291"/>
      <c r="I93" s="2292"/>
      <c r="J93" s="2292"/>
      <c r="K93" s="2292"/>
      <c r="L93" s="2292"/>
      <c r="N93" s="2293"/>
      <c r="O93" s="2292"/>
      <c r="P93" s="2292"/>
      <c r="Q93" s="2292"/>
      <c r="S93" s="2293"/>
      <c r="T93" s="2292"/>
      <c r="U93" s="2292"/>
      <c r="V93" s="2292"/>
    </row>
    <row r="94" spans="1:26" s="2290" customFormat="1" ht="13">
      <c r="A94" s="2290" t="s">
        <v>516</v>
      </c>
      <c r="G94" s="2291"/>
      <c r="N94" s="2291"/>
      <c r="S94" s="2291"/>
    </row>
    <row r="101" spans="7:22" ht="13" thickBot="1"/>
    <row r="102" spans="7:22" ht="13">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
  <cols>
    <col min="1" max="1" width="4.90625" style="1241" customWidth="1"/>
    <col min="2" max="2" width="13.26953125" style="1247" customWidth="1"/>
    <col min="3" max="3" width="15.6328125" style="1247" customWidth="1"/>
    <col min="4" max="4" width="9.36328125" style="1247" bestFit="1" customWidth="1"/>
    <col min="5" max="5" width="13.453125" style="1247" customWidth="1"/>
    <col min="6" max="6" width="9" style="1247"/>
    <col min="7" max="7" width="9.36328125" style="1247" bestFit="1" customWidth="1"/>
    <col min="8" max="8" width="12.26953125" style="1247" customWidth="1"/>
    <col min="9" max="9" width="9" style="1247"/>
    <col min="10" max="10" width="9.36328125" style="1247" bestFit="1" customWidth="1"/>
    <col min="11" max="11" width="4" style="1241" customWidth="1"/>
    <col min="12" max="12" width="5.08984375" style="1247" customWidth="1"/>
    <col min="13" max="13" width="13.7265625" style="1247" customWidth="1"/>
    <col min="14" max="256" width="9" style="1247"/>
    <col min="257" max="257" width="4.90625" style="1238" customWidth="1"/>
    <col min="258" max="258" width="13.26953125" style="1238" customWidth="1"/>
    <col min="259" max="259" width="15.6328125" style="1238" customWidth="1"/>
    <col min="260" max="260" width="9.36328125" style="1238" bestFit="1" customWidth="1"/>
    <col min="261" max="261" width="13.453125" style="1238" customWidth="1"/>
    <col min="262" max="262" width="9" style="1238"/>
    <col min="263" max="263" width="9.36328125" style="1238" bestFit="1" customWidth="1"/>
    <col min="264" max="265" width="9" style="1238"/>
    <col min="266" max="266" width="9.36328125" style="1238" bestFit="1" customWidth="1"/>
    <col min="267" max="267" width="4" style="1238" customWidth="1"/>
    <col min="268" max="268" width="5.08984375" style="1238" customWidth="1"/>
    <col min="269" max="269" width="13.7265625" style="1238" customWidth="1"/>
    <col min="270" max="512" width="9" style="1238"/>
    <col min="513" max="513" width="4.90625" style="1238" customWidth="1"/>
    <col min="514" max="514" width="13.26953125" style="1238" customWidth="1"/>
    <col min="515" max="515" width="15.6328125" style="1238" customWidth="1"/>
    <col min="516" max="516" width="9.36328125" style="1238" bestFit="1" customWidth="1"/>
    <col min="517" max="517" width="13.453125" style="1238" customWidth="1"/>
    <col min="518" max="518" width="9" style="1238"/>
    <col min="519" max="519" width="9.36328125" style="1238" bestFit="1" customWidth="1"/>
    <col min="520" max="521" width="9" style="1238"/>
    <col min="522" max="522" width="9.36328125" style="1238" bestFit="1" customWidth="1"/>
    <col min="523" max="523" width="4" style="1238" customWidth="1"/>
    <col min="524" max="524" width="5.08984375" style="1238" customWidth="1"/>
    <col min="525" max="525" width="13.7265625" style="1238" customWidth="1"/>
    <col min="526" max="768" width="9" style="1238"/>
    <col min="769" max="769" width="4.90625" style="1238" customWidth="1"/>
    <col min="770" max="770" width="13.26953125" style="1238" customWidth="1"/>
    <col min="771" max="771" width="15.6328125" style="1238" customWidth="1"/>
    <col min="772" max="772" width="9.36328125" style="1238" bestFit="1" customWidth="1"/>
    <col min="773" max="773" width="13.453125" style="1238" customWidth="1"/>
    <col min="774" max="774" width="9" style="1238"/>
    <col min="775" max="775" width="9.36328125" style="1238" bestFit="1" customWidth="1"/>
    <col min="776" max="777" width="9" style="1238"/>
    <col min="778" max="778" width="9.36328125" style="1238" bestFit="1" customWidth="1"/>
    <col min="779" max="779" width="4" style="1238" customWidth="1"/>
    <col min="780" max="780" width="5.08984375" style="1238" customWidth="1"/>
    <col min="781" max="781" width="13.7265625" style="1238" customWidth="1"/>
    <col min="782" max="1024" width="9" style="1238"/>
    <col min="1025" max="1025" width="4.90625" style="1238" customWidth="1"/>
    <col min="1026" max="1026" width="13.26953125" style="1238" customWidth="1"/>
    <col min="1027" max="1027" width="15.6328125" style="1238" customWidth="1"/>
    <col min="1028" max="1028" width="9.36328125" style="1238" bestFit="1" customWidth="1"/>
    <col min="1029" max="1029" width="13.453125" style="1238" customWidth="1"/>
    <col min="1030" max="1030" width="9" style="1238"/>
    <col min="1031" max="1031" width="9.36328125" style="1238" bestFit="1" customWidth="1"/>
    <col min="1032" max="1033" width="9" style="1238"/>
    <col min="1034" max="1034" width="9.36328125" style="1238" bestFit="1" customWidth="1"/>
    <col min="1035" max="1035" width="4" style="1238" customWidth="1"/>
    <col min="1036" max="1036" width="5.08984375" style="1238" customWidth="1"/>
    <col min="1037" max="1037" width="13.7265625" style="1238" customWidth="1"/>
    <col min="1038" max="1280" width="9" style="1238"/>
    <col min="1281" max="1281" width="4.90625" style="1238" customWidth="1"/>
    <col min="1282" max="1282" width="13.26953125" style="1238" customWidth="1"/>
    <col min="1283" max="1283" width="15.6328125" style="1238" customWidth="1"/>
    <col min="1284" max="1284" width="9.36328125" style="1238" bestFit="1" customWidth="1"/>
    <col min="1285" max="1285" width="13.453125" style="1238" customWidth="1"/>
    <col min="1286" max="1286" width="9" style="1238"/>
    <col min="1287" max="1287" width="9.36328125" style="1238" bestFit="1" customWidth="1"/>
    <col min="1288" max="1289" width="9" style="1238"/>
    <col min="1290" max="1290" width="9.36328125" style="1238" bestFit="1" customWidth="1"/>
    <col min="1291" max="1291" width="4" style="1238" customWidth="1"/>
    <col min="1292" max="1292" width="5.08984375" style="1238" customWidth="1"/>
    <col min="1293" max="1293" width="13.7265625" style="1238" customWidth="1"/>
    <col min="1294" max="1536" width="9" style="1238"/>
    <col min="1537" max="1537" width="4.90625" style="1238" customWidth="1"/>
    <col min="1538" max="1538" width="13.26953125" style="1238" customWidth="1"/>
    <col min="1539" max="1539" width="15.6328125" style="1238" customWidth="1"/>
    <col min="1540" max="1540" width="9.36328125" style="1238" bestFit="1" customWidth="1"/>
    <col min="1541" max="1541" width="13.453125" style="1238" customWidth="1"/>
    <col min="1542" max="1542" width="9" style="1238"/>
    <col min="1543" max="1543" width="9.36328125" style="1238" bestFit="1" customWidth="1"/>
    <col min="1544" max="1545" width="9" style="1238"/>
    <col min="1546" max="1546" width="9.36328125" style="1238" bestFit="1" customWidth="1"/>
    <col min="1547" max="1547" width="4" style="1238" customWidth="1"/>
    <col min="1548" max="1548" width="5.08984375" style="1238" customWidth="1"/>
    <col min="1549" max="1549" width="13.7265625" style="1238" customWidth="1"/>
    <col min="1550" max="1792" width="9" style="1238"/>
    <col min="1793" max="1793" width="4.90625" style="1238" customWidth="1"/>
    <col min="1794" max="1794" width="13.26953125" style="1238" customWidth="1"/>
    <col min="1795" max="1795" width="15.6328125" style="1238" customWidth="1"/>
    <col min="1796" max="1796" width="9.36328125" style="1238" bestFit="1" customWidth="1"/>
    <col min="1797" max="1797" width="13.453125" style="1238" customWidth="1"/>
    <col min="1798" max="1798" width="9" style="1238"/>
    <col min="1799" max="1799" width="9.36328125" style="1238" bestFit="1" customWidth="1"/>
    <col min="1800" max="1801" width="9" style="1238"/>
    <col min="1802" max="1802" width="9.36328125" style="1238" bestFit="1" customWidth="1"/>
    <col min="1803" max="1803" width="4" style="1238" customWidth="1"/>
    <col min="1804" max="1804" width="5.08984375" style="1238" customWidth="1"/>
    <col min="1805" max="1805" width="13.7265625" style="1238" customWidth="1"/>
    <col min="1806" max="2048" width="9" style="1238"/>
    <col min="2049" max="2049" width="4.90625" style="1238" customWidth="1"/>
    <col min="2050" max="2050" width="13.26953125" style="1238" customWidth="1"/>
    <col min="2051" max="2051" width="15.6328125" style="1238" customWidth="1"/>
    <col min="2052" max="2052" width="9.36328125" style="1238" bestFit="1" customWidth="1"/>
    <col min="2053" max="2053" width="13.453125" style="1238" customWidth="1"/>
    <col min="2054" max="2054" width="9" style="1238"/>
    <col min="2055" max="2055" width="9.36328125" style="1238" bestFit="1" customWidth="1"/>
    <col min="2056" max="2057" width="9" style="1238"/>
    <col min="2058" max="2058" width="9.36328125" style="1238" bestFit="1" customWidth="1"/>
    <col min="2059" max="2059" width="4" style="1238" customWidth="1"/>
    <col min="2060" max="2060" width="5.08984375" style="1238" customWidth="1"/>
    <col min="2061" max="2061" width="13.7265625" style="1238" customWidth="1"/>
    <col min="2062" max="2304" width="9" style="1238"/>
    <col min="2305" max="2305" width="4.90625" style="1238" customWidth="1"/>
    <col min="2306" max="2306" width="13.26953125" style="1238" customWidth="1"/>
    <col min="2307" max="2307" width="15.6328125" style="1238" customWidth="1"/>
    <col min="2308" max="2308" width="9.36328125" style="1238" bestFit="1" customWidth="1"/>
    <col min="2309" max="2309" width="13.453125" style="1238" customWidth="1"/>
    <col min="2310" max="2310" width="9" style="1238"/>
    <col min="2311" max="2311" width="9.36328125" style="1238" bestFit="1" customWidth="1"/>
    <col min="2312" max="2313" width="9" style="1238"/>
    <col min="2314" max="2314" width="9.36328125" style="1238" bestFit="1" customWidth="1"/>
    <col min="2315" max="2315" width="4" style="1238" customWidth="1"/>
    <col min="2316" max="2316" width="5.08984375" style="1238" customWidth="1"/>
    <col min="2317" max="2317" width="13.7265625" style="1238" customWidth="1"/>
    <col min="2318" max="2560" width="9" style="1238"/>
    <col min="2561" max="2561" width="4.90625" style="1238" customWidth="1"/>
    <col min="2562" max="2562" width="13.26953125" style="1238" customWidth="1"/>
    <col min="2563" max="2563" width="15.6328125" style="1238" customWidth="1"/>
    <col min="2564" max="2564" width="9.36328125" style="1238" bestFit="1" customWidth="1"/>
    <col min="2565" max="2565" width="13.453125" style="1238" customWidth="1"/>
    <col min="2566" max="2566" width="9" style="1238"/>
    <col min="2567" max="2567" width="9.36328125" style="1238" bestFit="1" customWidth="1"/>
    <col min="2568" max="2569" width="9" style="1238"/>
    <col min="2570" max="2570" width="9.36328125" style="1238" bestFit="1" customWidth="1"/>
    <col min="2571" max="2571" width="4" style="1238" customWidth="1"/>
    <col min="2572" max="2572" width="5.08984375" style="1238" customWidth="1"/>
    <col min="2573" max="2573" width="13.7265625" style="1238" customWidth="1"/>
    <col min="2574" max="2816" width="9" style="1238"/>
    <col min="2817" max="2817" width="4.90625" style="1238" customWidth="1"/>
    <col min="2818" max="2818" width="13.26953125" style="1238" customWidth="1"/>
    <col min="2819" max="2819" width="15.6328125" style="1238" customWidth="1"/>
    <col min="2820" max="2820" width="9.36328125" style="1238" bestFit="1" customWidth="1"/>
    <col min="2821" max="2821" width="13.453125" style="1238" customWidth="1"/>
    <col min="2822" max="2822" width="9" style="1238"/>
    <col min="2823" max="2823" width="9.36328125" style="1238" bestFit="1" customWidth="1"/>
    <col min="2824" max="2825" width="9" style="1238"/>
    <col min="2826" max="2826" width="9.36328125" style="1238" bestFit="1" customWidth="1"/>
    <col min="2827" max="2827" width="4" style="1238" customWidth="1"/>
    <col min="2828" max="2828" width="5.08984375" style="1238" customWidth="1"/>
    <col min="2829" max="2829" width="13.7265625" style="1238" customWidth="1"/>
    <col min="2830" max="3072" width="9" style="1238"/>
    <col min="3073" max="3073" width="4.90625" style="1238" customWidth="1"/>
    <col min="3074" max="3074" width="13.26953125" style="1238" customWidth="1"/>
    <col min="3075" max="3075" width="15.6328125" style="1238" customWidth="1"/>
    <col min="3076" max="3076" width="9.36328125" style="1238" bestFit="1" customWidth="1"/>
    <col min="3077" max="3077" width="13.453125" style="1238" customWidth="1"/>
    <col min="3078" max="3078" width="9" style="1238"/>
    <col min="3079" max="3079" width="9.36328125" style="1238" bestFit="1" customWidth="1"/>
    <col min="3080" max="3081" width="9" style="1238"/>
    <col min="3082" max="3082" width="9.36328125" style="1238" bestFit="1" customWidth="1"/>
    <col min="3083" max="3083" width="4" style="1238" customWidth="1"/>
    <col min="3084" max="3084" width="5.08984375" style="1238" customWidth="1"/>
    <col min="3085" max="3085" width="13.7265625" style="1238" customWidth="1"/>
    <col min="3086" max="3328" width="9" style="1238"/>
    <col min="3329" max="3329" width="4.90625" style="1238" customWidth="1"/>
    <col min="3330" max="3330" width="13.26953125" style="1238" customWidth="1"/>
    <col min="3331" max="3331" width="15.6328125" style="1238" customWidth="1"/>
    <col min="3332" max="3332" width="9.36328125" style="1238" bestFit="1" customWidth="1"/>
    <col min="3333" max="3333" width="13.453125" style="1238" customWidth="1"/>
    <col min="3334" max="3334" width="9" style="1238"/>
    <col min="3335" max="3335" width="9.36328125" style="1238" bestFit="1" customWidth="1"/>
    <col min="3336" max="3337" width="9" style="1238"/>
    <col min="3338" max="3338" width="9.36328125" style="1238" bestFit="1" customWidth="1"/>
    <col min="3339" max="3339" width="4" style="1238" customWidth="1"/>
    <col min="3340" max="3340" width="5.08984375" style="1238" customWidth="1"/>
    <col min="3341" max="3341" width="13.7265625" style="1238" customWidth="1"/>
    <col min="3342" max="3584" width="9" style="1238"/>
    <col min="3585" max="3585" width="4.90625" style="1238" customWidth="1"/>
    <col min="3586" max="3586" width="13.26953125" style="1238" customWidth="1"/>
    <col min="3587" max="3587" width="15.6328125" style="1238" customWidth="1"/>
    <col min="3588" max="3588" width="9.36328125" style="1238" bestFit="1" customWidth="1"/>
    <col min="3589" max="3589" width="13.453125" style="1238" customWidth="1"/>
    <col min="3590" max="3590" width="9" style="1238"/>
    <col min="3591" max="3591" width="9.36328125" style="1238" bestFit="1" customWidth="1"/>
    <col min="3592" max="3593" width="9" style="1238"/>
    <col min="3594" max="3594" width="9.36328125" style="1238" bestFit="1" customWidth="1"/>
    <col min="3595" max="3595" width="4" style="1238" customWidth="1"/>
    <col min="3596" max="3596" width="5.08984375" style="1238" customWidth="1"/>
    <col min="3597" max="3597" width="13.7265625" style="1238" customWidth="1"/>
    <col min="3598" max="3840" width="9" style="1238"/>
    <col min="3841" max="3841" width="4.90625" style="1238" customWidth="1"/>
    <col min="3842" max="3842" width="13.26953125" style="1238" customWidth="1"/>
    <col min="3843" max="3843" width="15.6328125" style="1238" customWidth="1"/>
    <col min="3844" max="3844" width="9.36328125" style="1238" bestFit="1" customWidth="1"/>
    <col min="3845" max="3845" width="13.453125" style="1238" customWidth="1"/>
    <col min="3846" max="3846" width="9" style="1238"/>
    <col min="3847" max="3847" width="9.36328125" style="1238" bestFit="1" customWidth="1"/>
    <col min="3848" max="3849" width="9" style="1238"/>
    <col min="3850" max="3850" width="9.36328125" style="1238" bestFit="1" customWidth="1"/>
    <col min="3851" max="3851" width="4" style="1238" customWidth="1"/>
    <col min="3852" max="3852" width="5.08984375" style="1238" customWidth="1"/>
    <col min="3853" max="3853" width="13.7265625" style="1238" customWidth="1"/>
    <col min="3854" max="4096" width="9" style="1238"/>
    <col min="4097" max="4097" width="4.90625" style="1238" customWidth="1"/>
    <col min="4098" max="4098" width="13.26953125" style="1238" customWidth="1"/>
    <col min="4099" max="4099" width="15.6328125" style="1238" customWidth="1"/>
    <col min="4100" max="4100" width="9.36328125" style="1238" bestFit="1" customWidth="1"/>
    <col min="4101" max="4101" width="13.453125" style="1238" customWidth="1"/>
    <col min="4102" max="4102" width="9" style="1238"/>
    <col min="4103" max="4103" width="9.36328125" style="1238" bestFit="1" customWidth="1"/>
    <col min="4104" max="4105" width="9" style="1238"/>
    <col min="4106" max="4106" width="9.36328125" style="1238" bestFit="1" customWidth="1"/>
    <col min="4107" max="4107" width="4" style="1238" customWidth="1"/>
    <col min="4108" max="4108" width="5.08984375" style="1238" customWidth="1"/>
    <col min="4109" max="4109" width="13.7265625" style="1238" customWidth="1"/>
    <col min="4110" max="4352" width="9" style="1238"/>
    <col min="4353" max="4353" width="4.90625" style="1238" customWidth="1"/>
    <col min="4354" max="4354" width="13.26953125" style="1238" customWidth="1"/>
    <col min="4355" max="4355" width="15.6328125" style="1238" customWidth="1"/>
    <col min="4356" max="4356" width="9.36328125" style="1238" bestFit="1" customWidth="1"/>
    <col min="4357" max="4357" width="13.453125" style="1238" customWidth="1"/>
    <col min="4358" max="4358" width="9" style="1238"/>
    <col min="4359" max="4359" width="9.36328125" style="1238" bestFit="1" customWidth="1"/>
    <col min="4360" max="4361" width="9" style="1238"/>
    <col min="4362" max="4362" width="9.36328125" style="1238" bestFit="1" customWidth="1"/>
    <col min="4363" max="4363" width="4" style="1238" customWidth="1"/>
    <col min="4364" max="4364" width="5.08984375" style="1238" customWidth="1"/>
    <col min="4365" max="4365" width="13.7265625" style="1238" customWidth="1"/>
    <col min="4366" max="4608" width="9" style="1238"/>
    <col min="4609" max="4609" width="4.90625" style="1238" customWidth="1"/>
    <col min="4610" max="4610" width="13.26953125" style="1238" customWidth="1"/>
    <col min="4611" max="4611" width="15.6328125" style="1238" customWidth="1"/>
    <col min="4612" max="4612" width="9.36328125" style="1238" bestFit="1" customWidth="1"/>
    <col min="4613" max="4613" width="13.453125" style="1238" customWidth="1"/>
    <col min="4614" max="4614" width="9" style="1238"/>
    <col min="4615" max="4615" width="9.36328125" style="1238" bestFit="1" customWidth="1"/>
    <col min="4616" max="4617" width="9" style="1238"/>
    <col min="4618" max="4618" width="9.36328125" style="1238" bestFit="1" customWidth="1"/>
    <col min="4619" max="4619" width="4" style="1238" customWidth="1"/>
    <col min="4620" max="4620" width="5.08984375" style="1238" customWidth="1"/>
    <col min="4621" max="4621" width="13.7265625" style="1238" customWidth="1"/>
    <col min="4622" max="4864" width="9" style="1238"/>
    <col min="4865" max="4865" width="4.90625" style="1238" customWidth="1"/>
    <col min="4866" max="4866" width="13.26953125" style="1238" customWidth="1"/>
    <col min="4867" max="4867" width="15.6328125" style="1238" customWidth="1"/>
    <col min="4868" max="4868" width="9.36328125" style="1238" bestFit="1" customWidth="1"/>
    <col min="4869" max="4869" width="13.453125" style="1238" customWidth="1"/>
    <col min="4870" max="4870" width="9" style="1238"/>
    <col min="4871" max="4871" width="9.36328125" style="1238" bestFit="1" customWidth="1"/>
    <col min="4872" max="4873" width="9" style="1238"/>
    <col min="4874" max="4874" width="9.36328125" style="1238" bestFit="1" customWidth="1"/>
    <col min="4875" max="4875" width="4" style="1238" customWidth="1"/>
    <col min="4876" max="4876" width="5.08984375" style="1238" customWidth="1"/>
    <col min="4877" max="4877" width="13.7265625" style="1238" customWidth="1"/>
    <col min="4878" max="5120" width="9" style="1238"/>
    <col min="5121" max="5121" width="4.90625" style="1238" customWidth="1"/>
    <col min="5122" max="5122" width="13.26953125" style="1238" customWidth="1"/>
    <col min="5123" max="5123" width="15.6328125" style="1238" customWidth="1"/>
    <col min="5124" max="5124" width="9.36328125" style="1238" bestFit="1" customWidth="1"/>
    <col min="5125" max="5125" width="13.453125" style="1238" customWidth="1"/>
    <col min="5126" max="5126" width="9" style="1238"/>
    <col min="5127" max="5127" width="9.36328125" style="1238" bestFit="1" customWidth="1"/>
    <col min="5128" max="5129" width="9" style="1238"/>
    <col min="5130" max="5130" width="9.36328125" style="1238" bestFit="1" customWidth="1"/>
    <col min="5131" max="5131" width="4" style="1238" customWidth="1"/>
    <col min="5132" max="5132" width="5.08984375" style="1238" customWidth="1"/>
    <col min="5133" max="5133" width="13.7265625" style="1238" customWidth="1"/>
    <col min="5134" max="5376" width="9" style="1238"/>
    <col min="5377" max="5377" width="4.90625" style="1238" customWidth="1"/>
    <col min="5378" max="5378" width="13.26953125" style="1238" customWidth="1"/>
    <col min="5379" max="5379" width="15.6328125" style="1238" customWidth="1"/>
    <col min="5380" max="5380" width="9.36328125" style="1238" bestFit="1" customWidth="1"/>
    <col min="5381" max="5381" width="13.453125" style="1238" customWidth="1"/>
    <col min="5382" max="5382" width="9" style="1238"/>
    <col min="5383" max="5383" width="9.36328125" style="1238" bestFit="1" customWidth="1"/>
    <col min="5384" max="5385" width="9" style="1238"/>
    <col min="5386" max="5386" width="9.36328125" style="1238" bestFit="1" customWidth="1"/>
    <col min="5387" max="5387" width="4" style="1238" customWidth="1"/>
    <col min="5388" max="5388" width="5.08984375" style="1238" customWidth="1"/>
    <col min="5389" max="5389" width="13.7265625" style="1238" customWidth="1"/>
    <col min="5390" max="5632" width="9" style="1238"/>
    <col min="5633" max="5633" width="4.90625" style="1238" customWidth="1"/>
    <col min="5634" max="5634" width="13.26953125" style="1238" customWidth="1"/>
    <col min="5635" max="5635" width="15.6328125" style="1238" customWidth="1"/>
    <col min="5636" max="5636" width="9.36328125" style="1238" bestFit="1" customWidth="1"/>
    <col min="5637" max="5637" width="13.453125" style="1238" customWidth="1"/>
    <col min="5638" max="5638" width="9" style="1238"/>
    <col min="5639" max="5639" width="9.36328125" style="1238" bestFit="1" customWidth="1"/>
    <col min="5640" max="5641" width="9" style="1238"/>
    <col min="5642" max="5642" width="9.36328125" style="1238" bestFit="1" customWidth="1"/>
    <col min="5643" max="5643" width="4" style="1238" customWidth="1"/>
    <col min="5644" max="5644" width="5.08984375" style="1238" customWidth="1"/>
    <col min="5645" max="5645" width="13.7265625" style="1238" customWidth="1"/>
    <col min="5646" max="5888" width="9" style="1238"/>
    <col min="5889" max="5889" width="4.90625" style="1238" customWidth="1"/>
    <col min="5890" max="5890" width="13.26953125" style="1238" customWidth="1"/>
    <col min="5891" max="5891" width="15.6328125" style="1238" customWidth="1"/>
    <col min="5892" max="5892" width="9.36328125" style="1238" bestFit="1" customWidth="1"/>
    <col min="5893" max="5893" width="13.453125" style="1238" customWidth="1"/>
    <col min="5894" max="5894" width="9" style="1238"/>
    <col min="5895" max="5895" width="9.36328125" style="1238" bestFit="1" customWidth="1"/>
    <col min="5896" max="5897" width="9" style="1238"/>
    <col min="5898" max="5898" width="9.36328125" style="1238" bestFit="1" customWidth="1"/>
    <col min="5899" max="5899" width="4" style="1238" customWidth="1"/>
    <col min="5900" max="5900" width="5.08984375" style="1238" customWidth="1"/>
    <col min="5901" max="5901" width="13.7265625" style="1238" customWidth="1"/>
    <col min="5902" max="6144" width="9" style="1238"/>
    <col min="6145" max="6145" width="4.90625" style="1238" customWidth="1"/>
    <col min="6146" max="6146" width="13.26953125" style="1238" customWidth="1"/>
    <col min="6147" max="6147" width="15.6328125" style="1238" customWidth="1"/>
    <col min="6148" max="6148" width="9.36328125" style="1238" bestFit="1" customWidth="1"/>
    <col min="6149" max="6149" width="13.453125" style="1238" customWidth="1"/>
    <col min="6150" max="6150" width="9" style="1238"/>
    <col min="6151" max="6151" width="9.36328125" style="1238" bestFit="1" customWidth="1"/>
    <col min="6152" max="6153" width="9" style="1238"/>
    <col min="6154" max="6154" width="9.36328125" style="1238" bestFit="1" customWidth="1"/>
    <col min="6155" max="6155" width="4" style="1238" customWidth="1"/>
    <col min="6156" max="6156" width="5.08984375" style="1238" customWidth="1"/>
    <col min="6157" max="6157" width="13.7265625" style="1238" customWidth="1"/>
    <col min="6158" max="6400" width="9" style="1238"/>
    <col min="6401" max="6401" width="4.90625" style="1238" customWidth="1"/>
    <col min="6402" max="6402" width="13.26953125" style="1238" customWidth="1"/>
    <col min="6403" max="6403" width="15.6328125" style="1238" customWidth="1"/>
    <col min="6404" max="6404" width="9.36328125" style="1238" bestFit="1" customWidth="1"/>
    <col min="6405" max="6405" width="13.453125" style="1238" customWidth="1"/>
    <col min="6406" max="6406" width="9" style="1238"/>
    <col min="6407" max="6407" width="9.36328125" style="1238" bestFit="1" customWidth="1"/>
    <col min="6408" max="6409" width="9" style="1238"/>
    <col min="6410" max="6410" width="9.36328125" style="1238" bestFit="1" customWidth="1"/>
    <col min="6411" max="6411" width="4" style="1238" customWidth="1"/>
    <col min="6412" max="6412" width="5.08984375" style="1238" customWidth="1"/>
    <col min="6413" max="6413" width="13.7265625" style="1238" customWidth="1"/>
    <col min="6414" max="6656" width="9" style="1238"/>
    <col min="6657" max="6657" width="4.90625" style="1238" customWidth="1"/>
    <col min="6658" max="6658" width="13.26953125" style="1238" customWidth="1"/>
    <col min="6659" max="6659" width="15.6328125" style="1238" customWidth="1"/>
    <col min="6660" max="6660" width="9.36328125" style="1238" bestFit="1" customWidth="1"/>
    <col min="6661" max="6661" width="13.453125" style="1238" customWidth="1"/>
    <col min="6662" max="6662" width="9" style="1238"/>
    <col min="6663" max="6663" width="9.36328125" style="1238" bestFit="1" customWidth="1"/>
    <col min="6664" max="6665" width="9" style="1238"/>
    <col min="6666" max="6666" width="9.36328125" style="1238" bestFit="1" customWidth="1"/>
    <col min="6667" max="6667" width="4" style="1238" customWidth="1"/>
    <col min="6668" max="6668" width="5.08984375" style="1238" customWidth="1"/>
    <col min="6669" max="6669" width="13.7265625" style="1238" customWidth="1"/>
    <col min="6670" max="6912" width="9" style="1238"/>
    <col min="6913" max="6913" width="4.90625" style="1238" customWidth="1"/>
    <col min="6914" max="6914" width="13.26953125" style="1238" customWidth="1"/>
    <col min="6915" max="6915" width="15.6328125" style="1238" customWidth="1"/>
    <col min="6916" max="6916" width="9.36328125" style="1238" bestFit="1" customWidth="1"/>
    <col min="6917" max="6917" width="13.453125" style="1238" customWidth="1"/>
    <col min="6918" max="6918" width="9" style="1238"/>
    <col min="6919" max="6919" width="9.36328125" style="1238" bestFit="1" customWidth="1"/>
    <col min="6920" max="6921" width="9" style="1238"/>
    <col min="6922" max="6922" width="9.36328125" style="1238" bestFit="1" customWidth="1"/>
    <col min="6923" max="6923" width="4" style="1238" customWidth="1"/>
    <col min="6924" max="6924" width="5.08984375" style="1238" customWidth="1"/>
    <col min="6925" max="6925" width="13.7265625" style="1238" customWidth="1"/>
    <col min="6926" max="7168" width="9" style="1238"/>
    <col min="7169" max="7169" width="4.90625" style="1238" customWidth="1"/>
    <col min="7170" max="7170" width="13.26953125" style="1238" customWidth="1"/>
    <col min="7171" max="7171" width="15.6328125" style="1238" customWidth="1"/>
    <col min="7172" max="7172" width="9.36328125" style="1238" bestFit="1" customWidth="1"/>
    <col min="7173" max="7173" width="13.453125" style="1238" customWidth="1"/>
    <col min="7174" max="7174" width="9" style="1238"/>
    <col min="7175" max="7175" width="9.36328125" style="1238" bestFit="1" customWidth="1"/>
    <col min="7176" max="7177" width="9" style="1238"/>
    <col min="7178" max="7178" width="9.36328125" style="1238" bestFit="1" customWidth="1"/>
    <col min="7179" max="7179" width="4" style="1238" customWidth="1"/>
    <col min="7180" max="7180" width="5.08984375" style="1238" customWidth="1"/>
    <col min="7181" max="7181" width="13.7265625" style="1238" customWidth="1"/>
    <col min="7182" max="7424" width="9" style="1238"/>
    <col min="7425" max="7425" width="4.90625" style="1238" customWidth="1"/>
    <col min="7426" max="7426" width="13.26953125" style="1238" customWidth="1"/>
    <col min="7427" max="7427" width="15.6328125" style="1238" customWidth="1"/>
    <col min="7428" max="7428" width="9.36328125" style="1238" bestFit="1" customWidth="1"/>
    <col min="7429" max="7429" width="13.453125" style="1238" customWidth="1"/>
    <col min="7430" max="7430" width="9" style="1238"/>
    <col min="7431" max="7431" width="9.36328125" style="1238" bestFit="1" customWidth="1"/>
    <col min="7432" max="7433" width="9" style="1238"/>
    <col min="7434" max="7434" width="9.36328125" style="1238" bestFit="1" customWidth="1"/>
    <col min="7435" max="7435" width="4" style="1238" customWidth="1"/>
    <col min="7436" max="7436" width="5.08984375" style="1238" customWidth="1"/>
    <col min="7437" max="7437" width="13.7265625" style="1238" customWidth="1"/>
    <col min="7438" max="7680" width="9" style="1238"/>
    <col min="7681" max="7681" width="4.90625" style="1238" customWidth="1"/>
    <col min="7682" max="7682" width="13.26953125" style="1238" customWidth="1"/>
    <col min="7683" max="7683" width="15.6328125" style="1238" customWidth="1"/>
    <col min="7684" max="7684" width="9.36328125" style="1238" bestFit="1" customWidth="1"/>
    <col min="7685" max="7685" width="13.453125" style="1238" customWidth="1"/>
    <col min="7686" max="7686" width="9" style="1238"/>
    <col min="7687" max="7687" width="9.36328125" style="1238" bestFit="1" customWidth="1"/>
    <col min="7688" max="7689" width="9" style="1238"/>
    <col min="7690" max="7690" width="9.36328125" style="1238" bestFit="1" customWidth="1"/>
    <col min="7691" max="7691" width="4" style="1238" customWidth="1"/>
    <col min="7692" max="7692" width="5.08984375" style="1238" customWidth="1"/>
    <col min="7693" max="7693" width="13.7265625" style="1238" customWidth="1"/>
    <col min="7694" max="7936" width="9" style="1238"/>
    <col min="7937" max="7937" width="4.90625" style="1238" customWidth="1"/>
    <col min="7938" max="7938" width="13.26953125" style="1238" customWidth="1"/>
    <col min="7939" max="7939" width="15.6328125" style="1238" customWidth="1"/>
    <col min="7940" max="7940" width="9.36328125" style="1238" bestFit="1" customWidth="1"/>
    <col min="7941" max="7941" width="13.453125" style="1238" customWidth="1"/>
    <col min="7942" max="7942" width="9" style="1238"/>
    <col min="7943" max="7943" width="9.36328125" style="1238" bestFit="1" customWidth="1"/>
    <col min="7944" max="7945" width="9" style="1238"/>
    <col min="7946" max="7946" width="9.36328125" style="1238" bestFit="1" customWidth="1"/>
    <col min="7947" max="7947" width="4" style="1238" customWidth="1"/>
    <col min="7948" max="7948" width="5.08984375" style="1238" customWidth="1"/>
    <col min="7949" max="7949" width="13.7265625" style="1238" customWidth="1"/>
    <col min="7950" max="8192" width="9" style="1238"/>
    <col min="8193" max="8193" width="4.90625" style="1238" customWidth="1"/>
    <col min="8194" max="8194" width="13.26953125" style="1238" customWidth="1"/>
    <col min="8195" max="8195" width="15.6328125" style="1238" customWidth="1"/>
    <col min="8196" max="8196" width="9.36328125" style="1238" bestFit="1" customWidth="1"/>
    <col min="8197" max="8197" width="13.453125" style="1238" customWidth="1"/>
    <col min="8198" max="8198" width="9" style="1238"/>
    <col min="8199" max="8199" width="9.36328125" style="1238" bestFit="1" customWidth="1"/>
    <col min="8200" max="8201" width="9" style="1238"/>
    <col min="8202" max="8202" width="9.36328125" style="1238" bestFit="1" customWidth="1"/>
    <col min="8203" max="8203" width="4" style="1238" customWidth="1"/>
    <col min="8204" max="8204" width="5.08984375" style="1238" customWidth="1"/>
    <col min="8205" max="8205" width="13.7265625" style="1238" customWidth="1"/>
    <col min="8206" max="8448" width="9" style="1238"/>
    <col min="8449" max="8449" width="4.90625" style="1238" customWidth="1"/>
    <col min="8450" max="8450" width="13.26953125" style="1238" customWidth="1"/>
    <col min="8451" max="8451" width="15.6328125" style="1238" customWidth="1"/>
    <col min="8452" max="8452" width="9.36328125" style="1238" bestFit="1" customWidth="1"/>
    <col min="8453" max="8453" width="13.453125" style="1238" customWidth="1"/>
    <col min="8454" max="8454" width="9" style="1238"/>
    <col min="8455" max="8455" width="9.36328125" style="1238" bestFit="1" customWidth="1"/>
    <col min="8456" max="8457" width="9" style="1238"/>
    <col min="8458" max="8458" width="9.36328125" style="1238" bestFit="1" customWidth="1"/>
    <col min="8459" max="8459" width="4" style="1238" customWidth="1"/>
    <col min="8460" max="8460" width="5.08984375" style="1238" customWidth="1"/>
    <col min="8461" max="8461" width="13.7265625" style="1238" customWidth="1"/>
    <col min="8462" max="8704" width="9" style="1238"/>
    <col min="8705" max="8705" width="4.90625" style="1238" customWidth="1"/>
    <col min="8706" max="8706" width="13.26953125" style="1238" customWidth="1"/>
    <col min="8707" max="8707" width="15.6328125" style="1238" customWidth="1"/>
    <col min="8708" max="8708" width="9.36328125" style="1238" bestFit="1" customWidth="1"/>
    <col min="8709" max="8709" width="13.453125" style="1238" customWidth="1"/>
    <col min="8710" max="8710" width="9" style="1238"/>
    <col min="8711" max="8711" width="9.36328125" style="1238" bestFit="1" customWidth="1"/>
    <col min="8712" max="8713" width="9" style="1238"/>
    <col min="8714" max="8714" width="9.36328125" style="1238" bestFit="1" customWidth="1"/>
    <col min="8715" max="8715" width="4" style="1238" customWidth="1"/>
    <col min="8716" max="8716" width="5.08984375" style="1238" customWidth="1"/>
    <col min="8717" max="8717" width="13.7265625" style="1238" customWidth="1"/>
    <col min="8718" max="8960" width="9" style="1238"/>
    <col min="8961" max="8961" width="4.90625" style="1238" customWidth="1"/>
    <col min="8962" max="8962" width="13.26953125" style="1238" customWidth="1"/>
    <col min="8963" max="8963" width="15.6328125" style="1238" customWidth="1"/>
    <col min="8964" max="8964" width="9.36328125" style="1238" bestFit="1" customWidth="1"/>
    <col min="8965" max="8965" width="13.453125" style="1238" customWidth="1"/>
    <col min="8966" max="8966" width="9" style="1238"/>
    <col min="8967" max="8967" width="9.36328125" style="1238" bestFit="1" customWidth="1"/>
    <col min="8968" max="8969" width="9" style="1238"/>
    <col min="8970" max="8970" width="9.36328125" style="1238" bestFit="1" customWidth="1"/>
    <col min="8971" max="8971" width="4" style="1238" customWidth="1"/>
    <col min="8972" max="8972" width="5.08984375" style="1238" customWidth="1"/>
    <col min="8973" max="8973" width="13.7265625" style="1238" customWidth="1"/>
    <col min="8974" max="9216" width="9" style="1238"/>
    <col min="9217" max="9217" width="4.90625" style="1238" customWidth="1"/>
    <col min="9218" max="9218" width="13.26953125" style="1238" customWidth="1"/>
    <col min="9219" max="9219" width="15.6328125" style="1238" customWidth="1"/>
    <col min="9220" max="9220" width="9.36328125" style="1238" bestFit="1" customWidth="1"/>
    <col min="9221" max="9221" width="13.453125" style="1238" customWidth="1"/>
    <col min="9222" max="9222" width="9" style="1238"/>
    <col min="9223" max="9223" width="9.36328125" style="1238" bestFit="1" customWidth="1"/>
    <col min="9224" max="9225" width="9" style="1238"/>
    <col min="9226" max="9226" width="9.36328125" style="1238" bestFit="1" customWidth="1"/>
    <col min="9227" max="9227" width="4" style="1238" customWidth="1"/>
    <col min="9228" max="9228" width="5.08984375" style="1238" customWidth="1"/>
    <col min="9229" max="9229" width="13.7265625" style="1238" customWidth="1"/>
    <col min="9230" max="9472" width="9" style="1238"/>
    <col min="9473" max="9473" width="4.90625" style="1238" customWidth="1"/>
    <col min="9474" max="9474" width="13.26953125" style="1238" customWidth="1"/>
    <col min="9475" max="9475" width="15.6328125" style="1238" customWidth="1"/>
    <col min="9476" max="9476" width="9.36328125" style="1238" bestFit="1" customWidth="1"/>
    <col min="9477" max="9477" width="13.453125" style="1238" customWidth="1"/>
    <col min="9478" max="9478" width="9" style="1238"/>
    <col min="9479" max="9479" width="9.36328125" style="1238" bestFit="1" customWidth="1"/>
    <col min="9480" max="9481" width="9" style="1238"/>
    <col min="9482" max="9482" width="9.36328125" style="1238" bestFit="1" customWidth="1"/>
    <col min="9483" max="9483" width="4" style="1238" customWidth="1"/>
    <col min="9484" max="9484" width="5.08984375" style="1238" customWidth="1"/>
    <col min="9485" max="9485" width="13.7265625" style="1238" customWidth="1"/>
    <col min="9486" max="9728" width="9" style="1238"/>
    <col min="9729" max="9729" width="4.90625" style="1238" customWidth="1"/>
    <col min="9730" max="9730" width="13.26953125" style="1238" customWidth="1"/>
    <col min="9731" max="9731" width="15.6328125" style="1238" customWidth="1"/>
    <col min="9732" max="9732" width="9.36328125" style="1238" bestFit="1" customWidth="1"/>
    <col min="9733" max="9733" width="13.453125" style="1238" customWidth="1"/>
    <col min="9734" max="9734" width="9" style="1238"/>
    <col min="9735" max="9735" width="9.36328125" style="1238" bestFit="1" customWidth="1"/>
    <col min="9736" max="9737" width="9" style="1238"/>
    <col min="9738" max="9738" width="9.36328125" style="1238" bestFit="1" customWidth="1"/>
    <col min="9739" max="9739" width="4" style="1238" customWidth="1"/>
    <col min="9740" max="9740" width="5.08984375" style="1238" customWidth="1"/>
    <col min="9741" max="9741" width="13.7265625" style="1238" customWidth="1"/>
    <col min="9742" max="9984" width="9" style="1238"/>
    <col min="9985" max="9985" width="4.90625" style="1238" customWidth="1"/>
    <col min="9986" max="9986" width="13.26953125" style="1238" customWidth="1"/>
    <col min="9987" max="9987" width="15.6328125" style="1238" customWidth="1"/>
    <col min="9988" max="9988" width="9.36328125" style="1238" bestFit="1" customWidth="1"/>
    <col min="9989" max="9989" width="13.453125" style="1238" customWidth="1"/>
    <col min="9990" max="9990" width="9" style="1238"/>
    <col min="9991" max="9991" width="9.36328125" style="1238" bestFit="1" customWidth="1"/>
    <col min="9992" max="9993" width="9" style="1238"/>
    <col min="9994" max="9994" width="9.36328125" style="1238" bestFit="1" customWidth="1"/>
    <col min="9995" max="9995" width="4" style="1238" customWidth="1"/>
    <col min="9996" max="9996" width="5.08984375" style="1238" customWidth="1"/>
    <col min="9997" max="9997" width="13.7265625" style="1238" customWidth="1"/>
    <col min="9998" max="10240" width="9" style="1238"/>
    <col min="10241" max="10241" width="4.90625" style="1238" customWidth="1"/>
    <col min="10242" max="10242" width="13.26953125" style="1238" customWidth="1"/>
    <col min="10243" max="10243" width="15.6328125" style="1238" customWidth="1"/>
    <col min="10244" max="10244" width="9.36328125" style="1238" bestFit="1" customWidth="1"/>
    <col min="10245" max="10245" width="13.453125" style="1238" customWidth="1"/>
    <col min="10246" max="10246" width="9" style="1238"/>
    <col min="10247" max="10247" width="9.36328125" style="1238" bestFit="1" customWidth="1"/>
    <col min="10248" max="10249" width="9" style="1238"/>
    <col min="10250" max="10250" width="9.36328125" style="1238" bestFit="1" customWidth="1"/>
    <col min="10251" max="10251" width="4" style="1238" customWidth="1"/>
    <col min="10252" max="10252" width="5.08984375" style="1238" customWidth="1"/>
    <col min="10253" max="10253" width="13.7265625" style="1238" customWidth="1"/>
    <col min="10254" max="10496" width="9" style="1238"/>
    <col min="10497" max="10497" width="4.90625" style="1238" customWidth="1"/>
    <col min="10498" max="10498" width="13.26953125" style="1238" customWidth="1"/>
    <col min="10499" max="10499" width="15.6328125" style="1238" customWidth="1"/>
    <col min="10500" max="10500" width="9.36328125" style="1238" bestFit="1" customWidth="1"/>
    <col min="10501" max="10501" width="13.453125" style="1238" customWidth="1"/>
    <col min="10502" max="10502" width="9" style="1238"/>
    <col min="10503" max="10503" width="9.36328125" style="1238" bestFit="1" customWidth="1"/>
    <col min="10504" max="10505" width="9" style="1238"/>
    <col min="10506" max="10506" width="9.36328125" style="1238" bestFit="1" customWidth="1"/>
    <col min="10507" max="10507" width="4" style="1238" customWidth="1"/>
    <col min="10508" max="10508" width="5.08984375" style="1238" customWidth="1"/>
    <col min="10509" max="10509" width="13.7265625" style="1238" customWidth="1"/>
    <col min="10510" max="10752" width="9" style="1238"/>
    <col min="10753" max="10753" width="4.90625" style="1238" customWidth="1"/>
    <col min="10754" max="10754" width="13.26953125" style="1238" customWidth="1"/>
    <col min="10755" max="10755" width="15.6328125" style="1238" customWidth="1"/>
    <col min="10756" max="10756" width="9.36328125" style="1238" bestFit="1" customWidth="1"/>
    <col min="10757" max="10757" width="13.453125" style="1238" customWidth="1"/>
    <col min="10758" max="10758" width="9" style="1238"/>
    <col min="10759" max="10759" width="9.36328125" style="1238" bestFit="1" customWidth="1"/>
    <col min="10760" max="10761" width="9" style="1238"/>
    <col min="10762" max="10762" width="9.36328125" style="1238" bestFit="1" customWidth="1"/>
    <col min="10763" max="10763" width="4" style="1238" customWidth="1"/>
    <col min="10764" max="10764" width="5.08984375" style="1238" customWidth="1"/>
    <col min="10765" max="10765" width="13.7265625" style="1238" customWidth="1"/>
    <col min="10766" max="11008" width="9" style="1238"/>
    <col min="11009" max="11009" width="4.90625" style="1238" customWidth="1"/>
    <col min="11010" max="11010" width="13.26953125" style="1238" customWidth="1"/>
    <col min="11011" max="11011" width="15.6328125" style="1238" customWidth="1"/>
    <col min="11012" max="11012" width="9.36328125" style="1238" bestFit="1" customWidth="1"/>
    <col min="11013" max="11013" width="13.453125" style="1238" customWidth="1"/>
    <col min="11014" max="11014" width="9" style="1238"/>
    <col min="11015" max="11015" width="9.36328125" style="1238" bestFit="1" customWidth="1"/>
    <col min="11016" max="11017" width="9" style="1238"/>
    <col min="11018" max="11018" width="9.36328125" style="1238" bestFit="1" customWidth="1"/>
    <col min="11019" max="11019" width="4" style="1238" customWidth="1"/>
    <col min="11020" max="11020" width="5.08984375" style="1238" customWidth="1"/>
    <col min="11021" max="11021" width="13.7265625" style="1238" customWidth="1"/>
    <col min="11022" max="11264" width="9" style="1238"/>
    <col min="11265" max="11265" width="4.90625" style="1238" customWidth="1"/>
    <col min="11266" max="11266" width="13.26953125" style="1238" customWidth="1"/>
    <col min="11267" max="11267" width="15.6328125" style="1238" customWidth="1"/>
    <col min="11268" max="11268" width="9.36328125" style="1238" bestFit="1" customWidth="1"/>
    <col min="11269" max="11269" width="13.453125" style="1238" customWidth="1"/>
    <col min="11270" max="11270" width="9" style="1238"/>
    <col min="11271" max="11271" width="9.36328125" style="1238" bestFit="1" customWidth="1"/>
    <col min="11272" max="11273" width="9" style="1238"/>
    <col min="11274" max="11274" width="9.36328125" style="1238" bestFit="1" customWidth="1"/>
    <col min="11275" max="11275" width="4" style="1238" customWidth="1"/>
    <col min="11276" max="11276" width="5.08984375" style="1238" customWidth="1"/>
    <col min="11277" max="11277" width="13.7265625" style="1238" customWidth="1"/>
    <col min="11278" max="11520" width="9" style="1238"/>
    <col min="11521" max="11521" width="4.90625" style="1238" customWidth="1"/>
    <col min="11522" max="11522" width="13.26953125" style="1238" customWidth="1"/>
    <col min="11523" max="11523" width="15.6328125" style="1238" customWidth="1"/>
    <col min="11524" max="11524" width="9.36328125" style="1238" bestFit="1" customWidth="1"/>
    <col min="11525" max="11525" width="13.453125" style="1238" customWidth="1"/>
    <col min="11526" max="11526" width="9" style="1238"/>
    <col min="11527" max="11527" width="9.36328125" style="1238" bestFit="1" customWidth="1"/>
    <col min="11528" max="11529" width="9" style="1238"/>
    <col min="11530" max="11530" width="9.36328125" style="1238" bestFit="1" customWidth="1"/>
    <col min="11531" max="11531" width="4" style="1238" customWidth="1"/>
    <col min="11532" max="11532" width="5.08984375" style="1238" customWidth="1"/>
    <col min="11533" max="11533" width="13.7265625" style="1238" customWidth="1"/>
    <col min="11534" max="11776" width="9" style="1238"/>
    <col min="11777" max="11777" width="4.90625" style="1238" customWidth="1"/>
    <col min="11778" max="11778" width="13.26953125" style="1238" customWidth="1"/>
    <col min="11779" max="11779" width="15.6328125" style="1238" customWidth="1"/>
    <col min="11780" max="11780" width="9.36328125" style="1238" bestFit="1" customWidth="1"/>
    <col min="11781" max="11781" width="13.453125" style="1238" customWidth="1"/>
    <col min="11782" max="11782" width="9" style="1238"/>
    <col min="11783" max="11783" width="9.36328125" style="1238" bestFit="1" customWidth="1"/>
    <col min="11784" max="11785" width="9" style="1238"/>
    <col min="11786" max="11786" width="9.36328125" style="1238" bestFit="1" customWidth="1"/>
    <col min="11787" max="11787" width="4" style="1238" customWidth="1"/>
    <col min="11788" max="11788" width="5.08984375" style="1238" customWidth="1"/>
    <col min="11789" max="11789" width="13.7265625" style="1238" customWidth="1"/>
    <col min="11790" max="12032" width="9" style="1238"/>
    <col min="12033" max="12033" width="4.90625" style="1238" customWidth="1"/>
    <col min="12034" max="12034" width="13.26953125" style="1238" customWidth="1"/>
    <col min="12035" max="12035" width="15.6328125" style="1238" customWidth="1"/>
    <col min="12036" max="12036" width="9.36328125" style="1238" bestFit="1" customWidth="1"/>
    <col min="12037" max="12037" width="13.453125" style="1238" customWidth="1"/>
    <col min="12038" max="12038" width="9" style="1238"/>
    <col min="12039" max="12039" width="9.36328125" style="1238" bestFit="1" customWidth="1"/>
    <col min="12040" max="12041" width="9" style="1238"/>
    <col min="12042" max="12042" width="9.36328125" style="1238" bestFit="1" customWidth="1"/>
    <col min="12043" max="12043" width="4" style="1238" customWidth="1"/>
    <col min="12044" max="12044" width="5.08984375" style="1238" customWidth="1"/>
    <col min="12045" max="12045" width="13.7265625" style="1238" customWidth="1"/>
    <col min="12046" max="12288" width="9" style="1238"/>
    <col min="12289" max="12289" width="4.90625" style="1238" customWidth="1"/>
    <col min="12290" max="12290" width="13.26953125" style="1238" customWidth="1"/>
    <col min="12291" max="12291" width="15.6328125" style="1238" customWidth="1"/>
    <col min="12292" max="12292" width="9.36328125" style="1238" bestFit="1" customWidth="1"/>
    <col min="12293" max="12293" width="13.453125" style="1238" customWidth="1"/>
    <col min="12294" max="12294" width="9" style="1238"/>
    <col min="12295" max="12295" width="9.36328125" style="1238" bestFit="1" customWidth="1"/>
    <col min="12296" max="12297" width="9" style="1238"/>
    <col min="12298" max="12298" width="9.36328125" style="1238" bestFit="1" customWidth="1"/>
    <col min="12299" max="12299" width="4" style="1238" customWidth="1"/>
    <col min="12300" max="12300" width="5.08984375" style="1238" customWidth="1"/>
    <col min="12301" max="12301" width="13.7265625" style="1238" customWidth="1"/>
    <col min="12302" max="12544" width="9" style="1238"/>
    <col min="12545" max="12545" width="4.90625" style="1238" customWidth="1"/>
    <col min="12546" max="12546" width="13.26953125" style="1238" customWidth="1"/>
    <col min="12547" max="12547" width="15.6328125" style="1238" customWidth="1"/>
    <col min="12548" max="12548" width="9.36328125" style="1238" bestFit="1" customWidth="1"/>
    <col min="12549" max="12549" width="13.453125" style="1238" customWidth="1"/>
    <col min="12550" max="12550" width="9" style="1238"/>
    <col min="12551" max="12551" width="9.36328125" style="1238" bestFit="1" customWidth="1"/>
    <col min="12552" max="12553" width="9" style="1238"/>
    <col min="12554" max="12554" width="9.36328125" style="1238" bestFit="1" customWidth="1"/>
    <col min="12555" max="12555" width="4" style="1238" customWidth="1"/>
    <col min="12556" max="12556" width="5.08984375" style="1238" customWidth="1"/>
    <col min="12557" max="12557" width="13.7265625" style="1238" customWidth="1"/>
    <col min="12558" max="12800" width="9" style="1238"/>
    <col min="12801" max="12801" width="4.90625" style="1238" customWidth="1"/>
    <col min="12802" max="12802" width="13.26953125" style="1238" customWidth="1"/>
    <col min="12803" max="12803" width="15.6328125" style="1238" customWidth="1"/>
    <col min="12804" max="12804" width="9.36328125" style="1238" bestFit="1" customWidth="1"/>
    <col min="12805" max="12805" width="13.453125" style="1238" customWidth="1"/>
    <col min="12806" max="12806" width="9" style="1238"/>
    <col min="12807" max="12807" width="9.36328125" style="1238" bestFit="1" customWidth="1"/>
    <col min="12808" max="12809" width="9" style="1238"/>
    <col min="12810" max="12810" width="9.36328125" style="1238" bestFit="1" customWidth="1"/>
    <col min="12811" max="12811" width="4" style="1238" customWidth="1"/>
    <col min="12812" max="12812" width="5.08984375" style="1238" customWidth="1"/>
    <col min="12813" max="12813" width="13.7265625" style="1238" customWidth="1"/>
    <col min="12814" max="13056" width="9" style="1238"/>
    <col min="13057" max="13057" width="4.90625" style="1238" customWidth="1"/>
    <col min="13058" max="13058" width="13.26953125" style="1238" customWidth="1"/>
    <col min="13059" max="13059" width="15.6328125" style="1238" customWidth="1"/>
    <col min="13060" max="13060" width="9.36328125" style="1238" bestFit="1" customWidth="1"/>
    <col min="13061" max="13061" width="13.453125" style="1238" customWidth="1"/>
    <col min="13062" max="13062" width="9" style="1238"/>
    <col min="13063" max="13063" width="9.36328125" style="1238" bestFit="1" customWidth="1"/>
    <col min="13064" max="13065" width="9" style="1238"/>
    <col min="13066" max="13066" width="9.36328125" style="1238" bestFit="1" customWidth="1"/>
    <col min="13067" max="13067" width="4" style="1238" customWidth="1"/>
    <col min="13068" max="13068" width="5.08984375" style="1238" customWidth="1"/>
    <col min="13069" max="13069" width="13.7265625" style="1238" customWidth="1"/>
    <col min="13070" max="13312" width="9" style="1238"/>
    <col min="13313" max="13313" width="4.90625" style="1238" customWidth="1"/>
    <col min="13314" max="13314" width="13.26953125" style="1238" customWidth="1"/>
    <col min="13315" max="13315" width="15.6328125" style="1238" customWidth="1"/>
    <col min="13316" max="13316" width="9.36328125" style="1238" bestFit="1" customWidth="1"/>
    <col min="13317" max="13317" width="13.453125" style="1238" customWidth="1"/>
    <col min="13318" max="13318" width="9" style="1238"/>
    <col min="13319" max="13319" width="9.36328125" style="1238" bestFit="1" customWidth="1"/>
    <col min="13320" max="13321" width="9" style="1238"/>
    <col min="13322" max="13322" width="9.36328125" style="1238" bestFit="1" customWidth="1"/>
    <col min="13323" max="13323" width="4" style="1238" customWidth="1"/>
    <col min="13324" max="13324" width="5.08984375" style="1238" customWidth="1"/>
    <col min="13325" max="13325" width="13.7265625" style="1238" customWidth="1"/>
    <col min="13326" max="13568" width="9" style="1238"/>
    <col min="13569" max="13569" width="4.90625" style="1238" customWidth="1"/>
    <col min="13570" max="13570" width="13.26953125" style="1238" customWidth="1"/>
    <col min="13571" max="13571" width="15.6328125" style="1238" customWidth="1"/>
    <col min="13572" max="13572" width="9.36328125" style="1238" bestFit="1" customWidth="1"/>
    <col min="13573" max="13573" width="13.453125" style="1238" customWidth="1"/>
    <col min="13574" max="13574" width="9" style="1238"/>
    <col min="13575" max="13575" width="9.36328125" style="1238" bestFit="1" customWidth="1"/>
    <col min="13576" max="13577" width="9" style="1238"/>
    <col min="13578" max="13578" width="9.36328125" style="1238" bestFit="1" customWidth="1"/>
    <col min="13579" max="13579" width="4" style="1238" customWidth="1"/>
    <col min="13580" max="13580" width="5.08984375" style="1238" customWidth="1"/>
    <col min="13581" max="13581" width="13.7265625" style="1238" customWidth="1"/>
    <col min="13582" max="13824" width="9" style="1238"/>
    <col min="13825" max="13825" width="4.90625" style="1238" customWidth="1"/>
    <col min="13826" max="13826" width="13.26953125" style="1238" customWidth="1"/>
    <col min="13827" max="13827" width="15.6328125" style="1238" customWidth="1"/>
    <col min="13828" max="13828" width="9.36328125" style="1238" bestFit="1" customWidth="1"/>
    <col min="13829" max="13829" width="13.453125" style="1238" customWidth="1"/>
    <col min="13830" max="13830" width="9" style="1238"/>
    <col min="13831" max="13831" width="9.36328125" style="1238" bestFit="1" customWidth="1"/>
    <col min="13832" max="13833" width="9" style="1238"/>
    <col min="13834" max="13834" width="9.36328125" style="1238" bestFit="1" customWidth="1"/>
    <col min="13835" max="13835" width="4" style="1238" customWidth="1"/>
    <col min="13836" max="13836" width="5.08984375" style="1238" customWidth="1"/>
    <col min="13837" max="13837" width="13.7265625" style="1238" customWidth="1"/>
    <col min="13838" max="14080" width="9" style="1238"/>
    <col min="14081" max="14081" width="4.90625" style="1238" customWidth="1"/>
    <col min="14082" max="14082" width="13.26953125" style="1238" customWidth="1"/>
    <col min="14083" max="14083" width="15.6328125" style="1238" customWidth="1"/>
    <col min="14084" max="14084" width="9.36328125" style="1238" bestFit="1" customWidth="1"/>
    <col min="14085" max="14085" width="13.453125" style="1238" customWidth="1"/>
    <col min="14086" max="14086" width="9" style="1238"/>
    <col min="14087" max="14087" width="9.36328125" style="1238" bestFit="1" customWidth="1"/>
    <col min="14088" max="14089" width="9" style="1238"/>
    <col min="14090" max="14090" width="9.36328125" style="1238" bestFit="1" customWidth="1"/>
    <col min="14091" max="14091" width="4" style="1238" customWidth="1"/>
    <col min="14092" max="14092" width="5.08984375" style="1238" customWidth="1"/>
    <col min="14093" max="14093" width="13.7265625" style="1238" customWidth="1"/>
    <col min="14094" max="14336" width="9" style="1238"/>
    <col min="14337" max="14337" width="4.90625" style="1238" customWidth="1"/>
    <col min="14338" max="14338" width="13.26953125" style="1238" customWidth="1"/>
    <col min="14339" max="14339" width="15.6328125" style="1238" customWidth="1"/>
    <col min="14340" max="14340" width="9.36328125" style="1238" bestFit="1" customWidth="1"/>
    <col min="14341" max="14341" width="13.453125" style="1238" customWidth="1"/>
    <col min="14342" max="14342" width="9" style="1238"/>
    <col min="14343" max="14343" width="9.36328125" style="1238" bestFit="1" customWidth="1"/>
    <col min="14344" max="14345" width="9" style="1238"/>
    <col min="14346" max="14346" width="9.36328125" style="1238" bestFit="1" customWidth="1"/>
    <col min="14347" max="14347" width="4" style="1238" customWidth="1"/>
    <col min="14348" max="14348" width="5.08984375" style="1238" customWidth="1"/>
    <col min="14349" max="14349" width="13.7265625" style="1238" customWidth="1"/>
    <col min="14350" max="14592" width="9" style="1238"/>
    <col min="14593" max="14593" width="4.90625" style="1238" customWidth="1"/>
    <col min="14594" max="14594" width="13.26953125" style="1238" customWidth="1"/>
    <col min="14595" max="14595" width="15.6328125" style="1238" customWidth="1"/>
    <col min="14596" max="14596" width="9.36328125" style="1238" bestFit="1" customWidth="1"/>
    <col min="14597" max="14597" width="13.453125" style="1238" customWidth="1"/>
    <col min="14598" max="14598" width="9" style="1238"/>
    <col min="14599" max="14599" width="9.36328125" style="1238" bestFit="1" customWidth="1"/>
    <col min="14600" max="14601" width="9" style="1238"/>
    <col min="14602" max="14602" width="9.36328125" style="1238" bestFit="1" customWidth="1"/>
    <col min="14603" max="14603" width="4" style="1238" customWidth="1"/>
    <col min="14604" max="14604" width="5.08984375" style="1238" customWidth="1"/>
    <col min="14605" max="14605" width="13.7265625" style="1238" customWidth="1"/>
    <col min="14606" max="14848" width="9" style="1238"/>
    <col min="14849" max="14849" width="4.90625" style="1238" customWidth="1"/>
    <col min="14850" max="14850" width="13.26953125" style="1238" customWidth="1"/>
    <col min="14851" max="14851" width="15.6328125" style="1238" customWidth="1"/>
    <col min="14852" max="14852" width="9.36328125" style="1238" bestFit="1" customWidth="1"/>
    <col min="14853" max="14853" width="13.453125" style="1238" customWidth="1"/>
    <col min="14854" max="14854" width="9" style="1238"/>
    <col min="14855" max="14855" width="9.36328125" style="1238" bestFit="1" customWidth="1"/>
    <col min="14856" max="14857" width="9" style="1238"/>
    <col min="14858" max="14858" width="9.36328125" style="1238" bestFit="1" customWidth="1"/>
    <col min="14859" max="14859" width="4" style="1238" customWidth="1"/>
    <col min="14860" max="14860" width="5.08984375" style="1238" customWidth="1"/>
    <col min="14861" max="14861" width="13.7265625" style="1238" customWidth="1"/>
    <col min="14862" max="15104" width="9" style="1238"/>
    <col min="15105" max="15105" width="4.90625" style="1238" customWidth="1"/>
    <col min="15106" max="15106" width="13.26953125" style="1238" customWidth="1"/>
    <col min="15107" max="15107" width="15.6328125" style="1238" customWidth="1"/>
    <col min="15108" max="15108" width="9.36328125" style="1238" bestFit="1" customWidth="1"/>
    <col min="15109" max="15109" width="13.453125" style="1238" customWidth="1"/>
    <col min="15110" max="15110" width="9" style="1238"/>
    <col min="15111" max="15111" width="9.36328125" style="1238" bestFit="1" customWidth="1"/>
    <col min="15112" max="15113" width="9" style="1238"/>
    <col min="15114" max="15114" width="9.36328125" style="1238" bestFit="1" customWidth="1"/>
    <col min="15115" max="15115" width="4" style="1238" customWidth="1"/>
    <col min="15116" max="15116" width="5.08984375" style="1238" customWidth="1"/>
    <col min="15117" max="15117" width="13.7265625" style="1238" customWidth="1"/>
    <col min="15118" max="15360" width="9" style="1238"/>
    <col min="15361" max="15361" width="4.90625" style="1238" customWidth="1"/>
    <col min="15362" max="15362" width="13.26953125" style="1238" customWidth="1"/>
    <col min="15363" max="15363" width="15.6328125" style="1238" customWidth="1"/>
    <col min="15364" max="15364" width="9.36328125" style="1238" bestFit="1" customWidth="1"/>
    <col min="15365" max="15365" width="13.453125" style="1238" customWidth="1"/>
    <col min="15366" max="15366" width="9" style="1238"/>
    <col min="15367" max="15367" width="9.36328125" style="1238" bestFit="1" customWidth="1"/>
    <col min="15368" max="15369" width="9" style="1238"/>
    <col min="15370" max="15370" width="9.36328125" style="1238" bestFit="1" customWidth="1"/>
    <col min="15371" max="15371" width="4" style="1238" customWidth="1"/>
    <col min="15372" max="15372" width="5.08984375" style="1238" customWidth="1"/>
    <col min="15373" max="15373" width="13.7265625" style="1238" customWidth="1"/>
    <col min="15374" max="15616" width="9" style="1238"/>
    <col min="15617" max="15617" width="4.90625" style="1238" customWidth="1"/>
    <col min="15618" max="15618" width="13.26953125" style="1238" customWidth="1"/>
    <col min="15619" max="15619" width="15.6328125" style="1238" customWidth="1"/>
    <col min="15620" max="15620" width="9.36328125" style="1238" bestFit="1" customWidth="1"/>
    <col min="15621" max="15621" width="13.453125" style="1238" customWidth="1"/>
    <col min="15622" max="15622" width="9" style="1238"/>
    <col min="15623" max="15623" width="9.36328125" style="1238" bestFit="1" customWidth="1"/>
    <col min="15624" max="15625" width="9" style="1238"/>
    <col min="15626" max="15626" width="9.36328125" style="1238" bestFit="1" customWidth="1"/>
    <col min="15627" max="15627" width="4" style="1238" customWidth="1"/>
    <col min="15628" max="15628" width="5.08984375" style="1238" customWidth="1"/>
    <col min="15629" max="15629" width="13.7265625" style="1238" customWidth="1"/>
    <col min="15630" max="15872" width="9" style="1238"/>
    <col min="15873" max="15873" width="4.90625" style="1238" customWidth="1"/>
    <col min="15874" max="15874" width="13.26953125" style="1238" customWidth="1"/>
    <col min="15875" max="15875" width="15.6328125" style="1238" customWidth="1"/>
    <col min="15876" max="15876" width="9.36328125" style="1238" bestFit="1" customWidth="1"/>
    <col min="15877" max="15877" width="13.453125" style="1238" customWidth="1"/>
    <col min="15878" max="15878" width="9" style="1238"/>
    <col min="15879" max="15879" width="9.36328125" style="1238" bestFit="1" customWidth="1"/>
    <col min="15880" max="15881" width="9" style="1238"/>
    <col min="15882" max="15882" width="9.36328125" style="1238" bestFit="1" customWidth="1"/>
    <col min="15883" max="15883" width="4" style="1238" customWidth="1"/>
    <col min="15884" max="15884" width="5.08984375" style="1238" customWidth="1"/>
    <col min="15885" max="15885" width="13.7265625" style="1238" customWidth="1"/>
    <col min="15886" max="16128" width="9" style="1238"/>
    <col min="16129" max="16129" width="4.90625" style="1238" customWidth="1"/>
    <col min="16130" max="16130" width="13.26953125" style="1238" customWidth="1"/>
    <col min="16131" max="16131" width="15.6328125" style="1238" customWidth="1"/>
    <col min="16132" max="16132" width="9.36328125" style="1238" bestFit="1" customWidth="1"/>
    <col min="16133" max="16133" width="13.453125" style="1238" customWidth="1"/>
    <col min="16134" max="16134" width="9" style="1238"/>
    <col min="16135" max="16135" width="9.36328125" style="1238" bestFit="1" customWidth="1"/>
    <col min="16136" max="16137" width="9" style="1238"/>
    <col min="16138" max="16138" width="9.36328125" style="1238" bestFit="1" customWidth="1"/>
    <col min="16139" max="16139" width="4" style="1238" customWidth="1"/>
    <col min="16140" max="16140" width="5.08984375" style="1238" customWidth="1"/>
    <col min="16141" max="16141" width="13.7265625" style="1238" customWidth="1"/>
    <col min="16142" max="16384" width="9" style="1238"/>
  </cols>
  <sheetData>
    <row r="1" spans="1:257" s="1300" customFormat="1" ht="14.5" thickBot="1">
      <c r="A1" s="1294"/>
      <c r="B1" s="1301" t="s">
        <v>602</v>
      </c>
      <c r="C1" s="1295">
        <f>项目基本情况!D3</f>
        <v>45716</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1">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3">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0">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topLeftCell="A73" workbookViewId="0">
      <selection activeCell="A93" sqref="A93"/>
    </sheetView>
  </sheetViews>
  <sheetFormatPr defaultRowHeight="14"/>
  <sheetData>
    <row r="5" spans="4:4">
      <c r="D5" s="3482"/>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5:R76"/>
  <sheetViews>
    <sheetView workbookViewId="0">
      <selection activeCell="Q36" sqref="Q36"/>
    </sheetView>
  </sheetViews>
  <sheetFormatPr defaultRowHeight="14"/>
  <sheetData>
    <row r="35" spans="17:17">
      <c r="Q35">
        <f>1539/2</f>
        <v>769.5</v>
      </c>
    </row>
    <row r="36" spans="17:17">
      <c r="Q36">
        <f>22591/33</f>
        <v>684.57575757575762</v>
      </c>
    </row>
    <row r="76" spans="18:18">
      <c r="R76">
        <f>3015/4</f>
        <v>753.75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6" customWidth="1"/>
    <col min="2" max="9" width="12.08984375" style="1476" customWidth="1"/>
    <col min="10" max="16384" width="9" style="1476"/>
  </cols>
  <sheetData>
    <row r="1" spans="1:9" ht="18.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6">
      <c r="A3" s="3497"/>
      <c r="B3" s="3497"/>
      <c r="C3" s="3497"/>
      <c r="D3" s="853" t="s">
        <v>925</v>
      </c>
      <c r="E3" s="853" t="s">
        <v>931</v>
      </c>
      <c r="F3" s="853" t="s">
        <v>925</v>
      </c>
      <c r="G3" s="853" t="s">
        <v>926</v>
      </c>
      <c r="H3" s="853" t="s">
        <v>925</v>
      </c>
      <c r="I3" s="853" t="s">
        <v>926</v>
      </c>
    </row>
    <row r="4" spans="1:9" ht="46.5">
      <c r="A4" s="1504" t="str">
        <f>项目基本情况!S2</f>
        <v>北京市昌平区英才北三街16号院4号楼3层304办公用房房地产</v>
      </c>
      <c r="B4" s="853">
        <f>项目基本情况!C17</f>
        <v>148.12</v>
      </c>
      <c r="C4" s="853">
        <f>项目基本情况!C18</f>
        <v>0</v>
      </c>
      <c r="D4" s="853">
        <f ca="1">结果表!D118</f>
        <v>228</v>
      </c>
      <c r="E4" s="853">
        <f ca="1">结果表!E118</f>
        <v>15426</v>
      </c>
      <c r="F4" s="853">
        <f ca="1">结果表!F118</f>
        <v>97</v>
      </c>
      <c r="G4" s="853">
        <f ca="1">结果表!G118</f>
        <v>6579</v>
      </c>
      <c r="H4" s="853">
        <f ca="1">结果表!H118</f>
        <v>326</v>
      </c>
      <c r="I4" s="853">
        <f ca="1">结果表!I118</f>
        <v>22005</v>
      </c>
    </row>
    <row r="5" spans="1:9" ht="30" customHeight="1">
      <c r="A5" s="3497" t="s">
        <v>927</v>
      </c>
      <c r="B5" s="3497"/>
      <c r="C5" s="3497"/>
      <c r="D5" s="3497" t="str">
        <f ca="1">结果表!D119</f>
        <v>贰佰贰拾捌万元整</v>
      </c>
      <c r="E5" s="3497"/>
      <c r="F5" s="3497" t="str">
        <f ca="1">结果表!F119</f>
        <v>玖拾柒万元整</v>
      </c>
      <c r="G5" s="3497"/>
      <c r="H5" s="3497" t="str">
        <f ca="1">结果表!H119</f>
        <v>叁佰贰拾陆万元整</v>
      </c>
      <c r="I5" s="3497"/>
    </row>
    <row r="6" spans="1:9" ht="15.5">
      <c r="A6" s="3496" t="str">
        <f>结果表!A120</f>
        <v>估价师知悉的法定优先受偿款</v>
      </c>
      <c r="B6" s="3496"/>
      <c r="C6" s="3496"/>
      <c r="D6" s="3496">
        <f>结果表!D120</f>
        <v>0</v>
      </c>
      <c r="E6" s="3496"/>
      <c r="F6" s="3496"/>
      <c r="G6" s="3496"/>
      <c r="H6" s="3496"/>
      <c r="I6" s="3496"/>
    </row>
    <row r="7" spans="1:9" ht="15.5">
      <c r="A7" s="3497" t="s">
        <v>927</v>
      </c>
      <c r="B7" s="3497"/>
      <c r="C7" s="3497"/>
      <c r="D7" s="3498" t="str">
        <f>结果表!D121</f>
        <v>零元整</v>
      </c>
      <c r="E7" s="3499"/>
      <c r="F7" s="3499"/>
      <c r="G7" s="3499"/>
      <c r="H7" s="3499"/>
      <c r="I7" s="3500"/>
    </row>
    <row r="8" spans="1:9" ht="15.5">
      <c r="A8" s="3496" t="str">
        <f>结果表!A122</f>
        <v>房地产抵押价值</v>
      </c>
      <c r="B8" s="3496"/>
      <c r="C8" s="3496"/>
      <c r="D8" s="3496">
        <f ca="1">结果表!D122</f>
        <v>326</v>
      </c>
      <c r="E8" s="3496"/>
      <c r="F8" s="3496"/>
      <c r="G8" s="3496"/>
      <c r="H8" s="3496"/>
      <c r="I8" s="3496"/>
    </row>
    <row r="9" spans="1:9" ht="15.5">
      <c r="A9" s="3497" t="s">
        <v>927</v>
      </c>
      <c r="B9" s="3497"/>
      <c r="C9" s="3497"/>
      <c r="D9" s="3497" t="str">
        <f ca="1">结果表!D123</f>
        <v>叁佰贰拾陆万元整</v>
      </c>
      <c r="E9" s="3497"/>
      <c r="F9" s="3497"/>
      <c r="G9" s="3497"/>
      <c r="H9" s="3497"/>
      <c r="I9" s="3497"/>
    </row>
    <row r="10" spans="1:9" ht="15.5">
      <c r="A10" s="3496" t="str">
        <f>结果表!A124</f>
        <v/>
      </c>
      <c r="B10" s="3496"/>
      <c r="C10" s="3496"/>
      <c r="D10" s="3496" t="str">
        <f>结果表!D124</f>
        <v>——</v>
      </c>
      <c r="E10" s="3496"/>
      <c r="F10" s="3496"/>
      <c r="G10" s="3496"/>
      <c r="H10" s="3496"/>
      <c r="I10" s="3496"/>
    </row>
    <row r="11" spans="1:9" ht="15.5">
      <c r="A11" s="3497" t="s">
        <v>927</v>
      </c>
      <c r="B11" s="3497"/>
      <c r="C11" s="3497"/>
      <c r="D11" s="3497" t="e">
        <f>结果表!D125</f>
        <v>#VALUE!</v>
      </c>
      <c r="E11" s="3497"/>
      <c r="F11" s="3497"/>
      <c r="G11" s="3497"/>
      <c r="H11" s="3497"/>
      <c r="I11" s="3497"/>
    </row>
    <row r="12" spans="1:9" ht="15.5">
      <c r="A12" s="3496" t="str">
        <f>结果表!A126</f>
        <v/>
      </c>
      <c r="B12" s="3496"/>
      <c r="C12" s="3496"/>
      <c r="D12" s="3496" t="str">
        <f>结果表!D126</f>
        <v>——</v>
      </c>
      <c r="E12" s="3496"/>
      <c r="F12" s="3496"/>
      <c r="G12" s="3496"/>
      <c r="H12" s="3496"/>
      <c r="I12" s="3496"/>
    </row>
    <row r="13" spans="1:9" ht="16" thickBot="1">
      <c r="A13" s="3494" t="s">
        <v>927</v>
      </c>
      <c r="B13" s="3494"/>
      <c r="C13" s="3494"/>
      <c r="D13" s="3494" t="e">
        <f>结果表!D127</f>
        <v>#VALUE!</v>
      </c>
      <c r="E13" s="3494"/>
      <c r="F13" s="3494"/>
      <c r="G13" s="3494"/>
      <c r="H13" s="3494"/>
      <c r="I13" s="3494"/>
    </row>
    <row r="14" spans="1:9" ht="14.5" thickTop="1">
      <c r="A14" s="3495" t="s">
        <v>932</v>
      </c>
      <c r="B14" s="3495"/>
      <c r="C14" s="3495"/>
      <c r="D14" s="3495"/>
      <c r="E14" s="3495"/>
      <c r="F14" s="3495"/>
      <c r="G14" s="3495"/>
      <c r="H14" s="3495"/>
      <c r="I14" s="3495"/>
    </row>
    <row r="16" spans="1:9" ht="1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6" customWidth="1"/>
    <col min="2" max="3" width="22.36328125" style="1476" customWidth="1"/>
    <col min="4" max="4" width="23" style="1476" customWidth="1"/>
    <col min="5" max="16384" width="9" style="1476"/>
  </cols>
  <sheetData>
    <row r="1" spans="1:4" ht="18">
      <c r="A1" s="3509" t="s">
        <v>949</v>
      </c>
      <c r="B1" s="3509"/>
      <c r="C1" s="3509"/>
      <c r="D1" s="3509"/>
    </row>
    <row r="2" spans="1:4" ht="18">
      <c r="A2" s="3510" t="s">
        <v>933</v>
      </c>
      <c r="B2" s="3510"/>
      <c r="C2" s="3510"/>
      <c r="D2" s="3510"/>
    </row>
    <row r="3" spans="1:4" ht="1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10" t="s">
        <v>939</v>
      </c>
      <c r="B6" s="3510"/>
      <c r="C6" s="3510"/>
      <c r="D6" s="3510"/>
    </row>
    <row r="7" spans="1:4" ht="1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
      <c r="A10" s="1515" t="s">
        <v>941</v>
      </c>
      <c r="B10" s="674"/>
      <c r="C10" s="674"/>
      <c r="D10" s="674"/>
    </row>
    <row r="11" spans="1:4" ht="30" customHeight="1">
      <c r="A11" s="3511" t="s">
        <v>942</v>
      </c>
      <c r="B11" s="3503"/>
      <c r="C11" s="3503"/>
      <c r="D11" s="3503"/>
    </row>
    <row r="12" spans="1:4" ht="15.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7.5">
      <c r="A25" s="1517" t="s">
        <v>946</v>
      </c>
    </row>
    <row r="26" spans="1:4" ht="17.5">
      <c r="A26" s="1486"/>
    </row>
    <row r="27" spans="1:4" ht="17.5">
      <c r="A27" s="1486" t="s">
        <v>947</v>
      </c>
    </row>
    <row r="30" spans="1:4" ht="17.5">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474" customWidth="1"/>
    <col min="3" max="10" width="12.453125" style="1474" customWidth="1"/>
    <col min="11" max="16384" width="9" style="1474"/>
  </cols>
  <sheetData>
    <row r="1" spans="1:10" ht="17.5">
      <c r="A1" s="1507" t="s">
        <v>391</v>
      </c>
      <c r="B1" s="1518"/>
      <c r="C1" s="1518"/>
      <c r="D1" s="1518"/>
      <c r="E1" s="1518"/>
      <c r="F1" s="1518"/>
      <c r="G1" s="1518"/>
      <c r="H1" s="1518"/>
      <c r="I1" s="1518"/>
      <c r="J1" s="1518"/>
    </row>
    <row r="2" spans="1:10" ht="1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24" customWidth="1"/>
    <col min="2" max="16384" width="14.453125" style="1506"/>
  </cols>
  <sheetData>
    <row r="1" spans="1:7" s="1521" customFormat="1" ht="1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
      <c r="A15" s="3517" t="s">
        <v>956</v>
      </c>
      <c r="B15" s="3512" t="s">
        <v>109</v>
      </c>
      <c r="C15" s="3513"/>
    </row>
    <row r="16" spans="1:7" ht="14">
      <c r="A16" s="3518"/>
      <c r="B16" s="3512" t="s">
        <v>42</v>
      </c>
      <c r="C16" s="3513"/>
    </row>
    <row r="17" spans="1:3" ht="14">
      <c r="A17" s="3518"/>
      <c r="B17" s="3515" t="s">
        <v>957</v>
      </c>
      <c r="C17" s="1531" t="s">
        <v>956</v>
      </c>
    </row>
    <row r="18" spans="1:3" ht="14">
      <c r="A18" s="3518"/>
      <c r="B18" s="3515"/>
      <c r="C18" s="1531" t="s">
        <v>958</v>
      </c>
    </row>
    <row r="19" spans="1:3" ht="14">
      <c r="A19" s="3518"/>
      <c r="B19" s="3515"/>
      <c r="C19" s="1531" t="s">
        <v>959</v>
      </c>
    </row>
    <row r="20" spans="1:3" ht="14">
      <c r="A20" s="3519"/>
      <c r="B20" s="3514" t="s">
        <v>960</v>
      </c>
      <c r="C20" s="3513"/>
    </row>
    <row r="21" spans="1:3" ht="14">
      <c r="A21" s="1532" t="s">
        <v>961</v>
      </c>
      <c r="B21" s="1533"/>
      <c r="C21" s="1534"/>
    </row>
    <row r="22" spans="1:3" ht="14">
      <c r="A22" s="3516" t="s">
        <v>962</v>
      </c>
      <c r="B22" s="3514" t="s">
        <v>963</v>
      </c>
      <c r="C22" s="3513"/>
    </row>
    <row r="23" spans="1:3" ht="14">
      <c r="A23" s="3516"/>
      <c r="B23" s="3514" t="s">
        <v>964</v>
      </c>
      <c r="C23" s="3513"/>
    </row>
    <row r="24" spans="1:3" ht="14">
      <c r="A24" s="3516"/>
      <c r="B24" s="3514" t="s">
        <v>965</v>
      </c>
      <c r="C24" s="3513"/>
    </row>
    <row r="25" spans="1:3" ht="14">
      <c r="A25" s="3516"/>
      <c r="B25" s="3515" t="s">
        <v>966</v>
      </c>
      <c r="C25" s="1531" t="s">
        <v>967</v>
      </c>
    </row>
    <row r="26" spans="1:3" ht="14">
      <c r="A26" s="3516"/>
      <c r="B26" s="3515"/>
      <c r="C26" s="1531" t="s">
        <v>968</v>
      </c>
    </row>
    <row r="27" spans="1:3" ht="14">
      <c r="A27" s="3516"/>
      <c r="B27" s="3515"/>
      <c r="C27" s="1531" t="s">
        <v>969</v>
      </c>
    </row>
    <row r="28" spans="1:3" ht="14">
      <c r="A28" s="3516"/>
      <c r="B28" s="3515"/>
      <c r="C28" s="1531" t="s">
        <v>970</v>
      </c>
    </row>
    <row r="29" spans="1:3" ht="14">
      <c r="A29" s="3516"/>
      <c r="B29" s="3515"/>
      <c r="C29" s="1531" t="s">
        <v>971</v>
      </c>
    </row>
    <row r="30" spans="1:3" ht="14">
      <c r="A30" s="3516"/>
      <c r="B30" s="3515"/>
      <c r="C30" s="1531" t="s">
        <v>972</v>
      </c>
    </row>
    <row r="31" spans="1:3" ht="14">
      <c r="A31" s="3516"/>
      <c r="B31" s="3515"/>
      <c r="C31" s="1531" t="s">
        <v>973</v>
      </c>
    </row>
    <row r="32" spans="1:3" ht="14">
      <c r="A32" s="3516"/>
      <c r="B32" s="3515"/>
      <c r="C32" s="1531" t="s">
        <v>974</v>
      </c>
    </row>
    <row r="33" spans="1:3" ht="14">
      <c r="A33" s="3516"/>
      <c r="B33" s="3515"/>
      <c r="C33" s="1531" t="s">
        <v>975</v>
      </c>
    </row>
    <row r="34" spans="1:3">
      <c r="A34" s="1535" t="s">
        <v>49</v>
      </c>
    </row>
    <row r="37" spans="1:3">
      <c r="A37" s="1535" t="s">
        <v>976</v>
      </c>
    </row>
    <row r="38" spans="1:3" ht="14">
      <c r="A38" s="1536" t="s">
        <v>50</v>
      </c>
    </row>
    <row r="39" spans="1:3" ht="14">
      <c r="A39" s="1536" t="s">
        <v>51</v>
      </c>
    </row>
    <row r="40" spans="1:3" ht="14">
      <c r="A40" s="1536" t="s">
        <v>52</v>
      </c>
    </row>
    <row r="41" spans="1:3" ht="14">
      <c r="A41" s="1537" t="s">
        <v>53</v>
      </c>
    </row>
    <row r="42" spans="1:3" ht="1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336" customWidth="1"/>
    <col min="2" max="2" width="38.6328125" style="2336" customWidth="1"/>
    <col min="3" max="3" width="26" style="2336" customWidth="1"/>
    <col min="4" max="4" width="35" style="2336" hidden="1" customWidth="1"/>
    <col min="5" max="5" width="30.08984375" style="2336" customWidth="1"/>
    <col min="6" max="6" width="35.453125" style="2336" customWidth="1"/>
    <col min="7" max="7" width="31" style="2336" customWidth="1"/>
    <col min="8" max="8" width="37.453125" style="2336" hidden="1" customWidth="1"/>
    <col min="9" max="16384" width="22.6328125" style="2336"/>
  </cols>
  <sheetData>
    <row r="1" spans="1:8" ht="24" customHeight="1">
      <c r="A1" s="2335"/>
      <c r="B1" s="2335"/>
      <c r="C1" s="2335"/>
      <c r="D1" s="2335"/>
      <c r="E1" s="2335"/>
      <c r="F1" s="2335"/>
      <c r="G1" s="2335"/>
      <c r="H1" s="2335"/>
    </row>
    <row r="2" spans="1:8" ht="24" customHeight="1">
      <c r="A2" s="2337" t="s">
        <v>2138</v>
      </c>
      <c r="B2" s="2338">
        <f ca="1">TODAY()</f>
        <v>45721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2"/>
      <c r="E18" s="3522" t="s">
        <v>2161</v>
      </c>
      <c r="F18" s="3521"/>
      <c r="G18" s="352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2017-03-01T09:15:43Z</cp:lastPrinted>
  <dcterms:created xsi:type="dcterms:W3CDTF">2015-07-13T07:17:23Z</dcterms:created>
  <dcterms:modified xsi:type="dcterms:W3CDTF">2025-03-05T09:06:04Z</dcterms:modified>
</cp:coreProperties>
</file>